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5360" windowHeight="7905" activeTab="4"/>
  </bookViews>
  <sheets>
    <sheet name="20 plazas asistencia" sheetId="5" r:id="rId1"/>
    <sheet name="10 plazas NIVEL I" sheetId="8" r:id="rId2"/>
    <sheet name="4 plazas NIVEL II" sheetId="9" r:id="rId3"/>
    <sheet name="Resumen Global" sheetId="6" r:id="rId4"/>
    <sheet name="DESGLOSE SALARIOS" sheetId="7" r:id="rId5"/>
  </sheets>
  <definedNames>
    <definedName name="con" localSheetId="1">#REF!</definedName>
    <definedName name="con" localSheetId="2">'4 plazas NIVEL II'!$D$14</definedName>
    <definedName name="con">#REF!</definedName>
    <definedName name="sin" localSheetId="1">#REF!</definedName>
    <definedName name="sin" localSheetId="2">'4 plazas NIVEL II'!$D$12</definedName>
    <definedName name="sin">#REF!</definedName>
  </definedNames>
  <calcPr calcId="124519"/>
</workbook>
</file>

<file path=xl/calcChain.xml><?xml version="1.0" encoding="utf-8"?>
<calcChain xmlns="http://schemas.openxmlformats.org/spreadsheetml/2006/main">
  <c r="D12" i="5"/>
  <c r="B23" i="7"/>
  <c r="B22"/>
  <c r="B21"/>
  <c r="B20"/>
  <c r="J3"/>
  <c r="J4"/>
  <c r="J5"/>
  <c r="J6"/>
  <c r="J7"/>
  <c r="J8"/>
  <c r="J9"/>
  <c r="J10"/>
  <c r="J11"/>
  <c r="J12"/>
  <c r="J13"/>
  <c r="J14"/>
  <c r="J15"/>
  <c r="J16"/>
  <c r="J2"/>
  <c r="I3"/>
  <c r="I4"/>
  <c r="I5"/>
  <c r="I6"/>
  <c r="I7"/>
  <c r="I8"/>
  <c r="I9"/>
  <c r="I10"/>
  <c r="I11"/>
  <c r="I12"/>
  <c r="I13"/>
  <c r="I14"/>
  <c r="I15"/>
  <c r="I16"/>
  <c r="I17"/>
  <c r="I2"/>
  <c r="H3"/>
  <c r="H4"/>
  <c r="H5"/>
  <c r="H6"/>
  <c r="H7"/>
  <c r="H8"/>
  <c r="H9"/>
  <c r="H10"/>
  <c r="H11"/>
  <c r="H12"/>
  <c r="H13"/>
  <c r="H14"/>
  <c r="H15"/>
  <c r="H16"/>
  <c r="H17"/>
  <c r="H2"/>
  <c r="G14"/>
  <c r="G13"/>
  <c r="F16"/>
  <c r="F14"/>
  <c r="F12"/>
  <c r="F10"/>
  <c r="F8"/>
  <c r="F5"/>
  <c r="E3"/>
  <c r="D4"/>
  <c r="D6"/>
  <c r="D8"/>
  <c r="D10"/>
  <c r="D12"/>
  <c r="D14"/>
  <c r="D16"/>
  <c r="C4"/>
  <c r="C5"/>
  <c r="D5" s="1"/>
  <c r="C6"/>
  <c r="C7"/>
  <c r="D7" s="1"/>
  <c r="C8"/>
  <c r="C9"/>
  <c r="D9" s="1"/>
  <c r="C10"/>
  <c r="C11"/>
  <c r="D11" s="1"/>
  <c r="C12"/>
  <c r="C13"/>
  <c r="D13" s="1"/>
  <c r="C14"/>
  <c r="C15"/>
  <c r="D15" s="1"/>
  <c r="C16"/>
  <c r="C17"/>
  <c r="D17" s="1"/>
  <c r="C3"/>
  <c r="D3" s="1"/>
  <c r="C2"/>
  <c r="D2" s="1"/>
  <c r="C3" i="8" l="1"/>
  <c r="D3" s="1"/>
  <c r="C5" i="5"/>
  <c r="C3" i="9"/>
  <c r="D3" s="1"/>
  <c r="J17" i="7"/>
  <c r="C6" i="8" s="1"/>
  <c r="D6" s="1"/>
  <c r="C4" i="9"/>
  <c r="D4" s="1"/>
  <c r="C7" i="8"/>
  <c r="D7" s="1"/>
  <c r="C12" i="5"/>
  <c r="C10" i="8"/>
  <c r="D10" s="1"/>
  <c r="C11" i="5" l="1"/>
  <c r="C11" i="8"/>
  <c r="D11" s="1"/>
  <c r="C9" i="5"/>
  <c r="D9" s="1"/>
  <c r="C8"/>
  <c r="D8" s="1"/>
  <c r="C9" i="8"/>
  <c r="D9" s="1"/>
  <c r="C8"/>
  <c r="D8" s="1"/>
  <c r="G11" i="5"/>
  <c r="G8" i="9" l="1"/>
  <c r="D9" s="1"/>
  <c r="H8" i="8"/>
  <c r="D17" i="5"/>
  <c r="C4" l="1"/>
  <c r="D4" s="1"/>
  <c r="H10" i="8"/>
  <c r="D16" s="1"/>
  <c r="C5" l="1"/>
  <c r="D5" s="1"/>
  <c r="C3" i="5"/>
  <c r="D3" s="1"/>
  <c r="C4" i="8"/>
  <c r="D4" s="1"/>
  <c r="C6" i="5"/>
  <c r="D6" s="1"/>
  <c r="C7"/>
  <c r="D7" s="1"/>
  <c r="D5"/>
  <c r="C10"/>
  <c r="D10" s="1"/>
  <c r="D11"/>
  <c r="D12" i="8" l="1"/>
  <c r="D5" i="9"/>
  <c r="D13" i="5"/>
  <c r="D14" s="1"/>
  <c r="D16" s="1"/>
  <c r="D18" s="1"/>
  <c r="D6" i="9" l="1"/>
  <c r="D8"/>
  <c r="D10" s="1"/>
  <c r="D19" i="5"/>
  <c r="D20" s="1"/>
  <c r="D13" i="8"/>
  <c r="D15" s="1"/>
  <c r="D17" s="1"/>
  <c r="D11" i="9" l="1"/>
  <c r="D12" s="1"/>
  <c r="C25" i="5"/>
  <c r="D21"/>
  <c r="D22" s="1"/>
  <c r="D18" i="8"/>
  <c r="D19" s="1"/>
  <c r="C27" s="1"/>
  <c r="C18" i="9" l="1"/>
  <c r="D13"/>
  <c r="D14" s="1"/>
  <c r="D18" s="1"/>
  <c r="G30" i="8"/>
  <c r="H30" s="1"/>
  <c r="G28"/>
  <c r="H28" s="1"/>
  <c r="C30"/>
  <c r="D30" s="1"/>
  <c r="C28"/>
  <c r="D28" s="1"/>
  <c r="D27"/>
  <c r="G29"/>
  <c r="H29" s="1"/>
  <c r="G27"/>
  <c r="H27" s="1"/>
  <c r="C29"/>
  <c r="D29" s="1"/>
  <c r="G31" i="5"/>
  <c r="H31" s="1"/>
  <c r="G30"/>
  <c r="H30" s="1"/>
  <c r="G28"/>
  <c r="H28" s="1"/>
  <c r="C31"/>
  <c r="D31" s="1"/>
  <c r="C29"/>
  <c r="D29" s="1"/>
  <c r="G29"/>
  <c r="H29" s="1"/>
  <c r="C30"/>
  <c r="D30" s="1"/>
  <c r="C24"/>
  <c r="D7" i="6"/>
  <c r="C32" i="5"/>
  <c r="D8" i="6" s="1"/>
  <c r="D20" i="8"/>
  <c r="D21" s="1"/>
  <c r="E11" i="6" l="1"/>
  <c r="D23"/>
  <c r="C20" i="9"/>
  <c r="G22"/>
  <c r="H22" s="1"/>
  <c r="H23" i="6" s="1"/>
  <c r="G21" i="9"/>
  <c r="H21" s="1"/>
  <c r="G20"/>
  <c r="H20" s="1"/>
  <c r="F23" i="6" s="1"/>
  <c r="G19" i="9"/>
  <c r="C22"/>
  <c r="D22" s="1"/>
  <c r="C21"/>
  <c r="D21" s="1"/>
  <c r="D11" i="6"/>
  <c r="F21"/>
  <c r="E7"/>
  <c r="D21" s="1"/>
  <c r="D9"/>
  <c r="H19" i="9" l="1"/>
  <c r="E23" i="6" s="1"/>
  <c r="G23" i="9"/>
  <c r="D20"/>
  <c r="D23" s="1"/>
  <c r="E12" i="6" s="1"/>
  <c r="C23" i="9"/>
  <c r="D12" i="6" s="1"/>
  <c r="D22"/>
  <c r="G32" i="5"/>
  <c r="D24" i="6"/>
  <c r="G21"/>
  <c r="H21"/>
  <c r="G23"/>
  <c r="I23" s="1"/>
  <c r="H23" i="9"/>
  <c r="D32" i="5"/>
  <c r="E8" i="6" s="1"/>
  <c r="E22"/>
  <c r="F22"/>
  <c r="F24" s="1"/>
  <c r="E9"/>
  <c r="G22"/>
  <c r="C31" i="8"/>
  <c r="D10" i="6" s="1"/>
  <c r="D13" s="1"/>
  <c r="G24" l="1"/>
  <c r="E21"/>
  <c r="I21" s="1"/>
  <c r="H32" i="5"/>
  <c r="H22" i="6"/>
  <c r="H24" s="1"/>
  <c r="D31" i="8"/>
  <c r="E10" i="6" s="1"/>
  <c r="E13" s="1"/>
  <c r="G31" i="8"/>
  <c r="E24" i="6" l="1"/>
  <c r="I22"/>
  <c r="I24" s="1"/>
  <c r="H31" i="8"/>
</calcChain>
</file>

<file path=xl/sharedStrings.xml><?xml version="1.0" encoding="utf-8"?>
<sst xmlns="http://schemas.openxmlformats.org/spreadsheetml/2006/main" count="222" uniqueCount="141">
  <si>
    <t>Salario anual</t>
  </si>
  <si>
    <t>Alquileres</t>
  </si>
  <si>
    <t>Agua, luz, gas, telefono</t>
  </si>
  <si>
    <t>Mantenimientos</t>
  </si>
  <si>
    <t>Suplencias</t>
  </si>
  <si>
    <t>Gastos varios (transporte, dietas personal, etc)</t>
  </si>
  <si>
    <t>Gastos bienes corrientes y servicios</t>
  </si>
  <si>
    <t>Material sanitario, limpieza, aseo otros</t>
  </si>
  <si>
    <t>Beneficio Industrial 6%</t>
  </si>
  <si>
    <t>TOTAL</t>
  </si>
  <si>
    <t xml:space="preserve">Gastos de bienes corrientes y servicios </t>
  </si>
  <si>
    <t xml:space="preserve">        Total</t>
  </si>
  <si>
    <t>costes</t>
  </si>
  <si>
    <t xml:space="preserve"> </t>
  </si>
  <si>
    <t xml:space="preserve">Plazas de apoyo a la reinserción </t>
  </si>
  <si>
    <t xml:space="preserve">TOTAL </t>
  </si>
  <si>
    <t>TOTAL SUELDOS</t>
  </si>
  <si>
    <t>TOTAL PERSONAL</t>
  </si>
  <si>
    <t>SUBTOTAL</t>
  </si>
  <si>
    <t>10% iva</t>
  </si>
  <si>
    <t>CON IVA</t>
  </si>
  <si>
    <t>SIN IVA</t>
  </si>
  <si>
    <t>10% IVA</t>
  </si>
  <si>
    <t>COSTE</t>
  </si>
  <si>
    <t>TOTAL SIN IVA</t>
  </si>
  <si>
    <t>TOTAL CON IVA</t>
  </si>
  <si>
    <t>Coste plaza con IVA</t>
  </si>
  <si>
    <t>Coste plaza sin IVA</t>
  </si>
  <si>
    <t>IMPUTACIÓN PRESUPUESTARIA. DECRETO 28/02/2011</t>
  </si>
  <si>
    <t>LA JEFA DEL SERVICIO DE ASISTENCIA,</t>
  </si>
  <si>
    <t>Precio/Plaza/Día (4 plazas) 
Autogestión</t>
  </si>
  <si>
    <t>Precio /Plaza día</t>
  </si>
  <si>
    <t>Total Contrato</t>
  </si>
  <si>
    <t>ASISTENCIA</t>
  </si>
  <si>
    <t xml:space="preserve">TOTAL CONTRATO </t>
  </si>
  <si>
    <t xml:space="preserve">DISPOSITIVOS </t>
  </si>
  <si>
    <t xml:space="preserve">PISO </t>
  </si>
  <si>
    <t>4 plazas</t>
  </si>
  <si>
    <t>TOTAL (10% IVA INCLUIDO)</t>
  </si>
  <si>
    <t>REINSERCION I</t>
  </si>
  <si>
    <t>REINSERCION II</t>
  </si>
  <si>
    <t>PRECIO PLAZA/DÍA  CON 10% IVA</t>
  </si>
  <si>
    <t>Alimentación (9,25 €/día)</t>
  </si>
  <si>
    <t>CATEGORIA</t>
  </si>
  <si>
    <t>FIN DE SEMANA (15% SALARIO BASE)</t>
  </si>
  <si>
    <t>32% SS</t>
  </si>
  <si>
    <t>Complemento  de responsabilidad</t>
  </si>
  <si>
    <t>Educador social</t>
  </si>
  <si>
    <t>Educador social (fin de semana)</t>
  </si>
  <si>
    <t>DUE (fin de semana)</t>
  </si>
  <si>
    <t>DUE</t>
  </si>
  <si>
    <t>Trabajador Social</t>
  </si>
  <si>
    <t>Psicólogo coordinador</t>
  </si>
  <si>
    <t>Psicólogo (fin de semana)</t>
  </si>
  <si>
    <t>Psicólogo</t>
  </si>
  <si>
    <t>AÑO 2018</t>
  </si>
  <si>
    <t>AÑO 2019</t>
  </si>
  <si>
    <t>Ayudante de Cocina</t>
  </si>
  <si>
    <t>Psicólogo a jornada completa L a V laborables con funciones de coordinador</t>
  </si>
  <si>
    <t>Educador  jornada completa L a V laborables (mañana)</t>
  </si>
  <si>
    <t>Educador  jornada completa L a V laborables (Tarde)</t>
  </si>
  <si>
    <t>D.U.E.  jornada completa L a V ( tarde)</t>
  </si>
  <si>
    <t>Ayudante de cocina de lunes a viernes laborables (7 horas semanales)</t>
  </si>
  <si>
    <t>*Aportado por la entidad saliente</t>
  </si>
  <si>
    <t>NOCTURNIDAD (25% SALARIO BASE)</t>
  </si>
  <si>
    <t xml:space="preserve">Cuidador </t>
  </si>
  <si>
    <t>Cuidador (fin de semana)</t>
  </si>
  <si>
    <t>Cuidador nocturnidad</t>
  </si>
  <si>
    <t>Montante global de antigüedad del personal actual*</t>
  </si>
  <si>
    <t>TOTALES</t>
  </si>
  <si>
    <t>Los importes reflejados se corresponden con precios actualizados y adecuados a mercado, dándose estricto cumplimiento a lo establecido en el artículo 87.1 del Real Decreto Legislativo 3/2011, de 14 de noviembre, por el que se aprueba el Texto Refundido de la Ley de Contratos del Sector Público. Se hace constar que los salarios del personal incluyen los costes sociales de los trabajadores (32%)</t>
  </si>
  <si>
    <t>REVISIÓN DE PRECIOS</t>
  </si>
  <si>
    <t>TOTAL CONTRATO</t>
  </si>
  <si>
    <t>Agua, luz, gas, teléfono</t>
  </si>
  <si>
    <t>Seguros obligatorios</t>
  </si>
  <si>
    <t>Material sanitario, limpieza, aseo, otros</t>
  </si>
  <si>
    <t>Alimentación (9,25 € diarios por residente)</t>
  </si>
  <si>
    <t>Nº PUESTOS</t>
  </si>
  <si>
    <t xml:space="preserve">Cuidador jornada completa L a V (incluye nocturnidad) </t>
  </si>
  <si>
    <t>Cuidador jornada completa turno noche (L a V)</t>
  </si>
  <si>
    <t>Precio/Plaza/Día (10 PLAZAS Nivel I 
Apoyo a la Reinserción)</t>
  </si>
  <si>
    <t>Tecnico  Integración Social</t>
  </si>
  <si>
    <t>10 plazas</t>
  </si>
  <si>
    <t>14 PLAZAS</t>
  </si>
  <si>
    <t>PISO 20 PLAZAS</t>
  </si>
  <si>
    <t xml:space="preserve">Trabajador social media jornada L a V (mañana o tarde) </t>
  </si>
  <si>
    <t xml:space="preserve">Cuidador jornada completa F/S y festivo  (Nocturnidad) </t>
  </si>
  <si>
    <t>AÑO 2020</t>
  </si>
  <si>
    <t>AÑO 2021</t>
  </si>
  <si>
    <t>Total contrato 34 plazas</t>
  </si>
  <si>
    <t>Técnico Integración social media jornada L a V (mañana o tarde)</t>
  </si>
  <si>
    <t>Educador F/S y festivos jornada completa turno mañana</t>
  </si>
  <si>
    <t>Educador F/S y festivos jornada completa turno tarde</t>
  </si>
  <si>
    <t>Técnico Integración social media jornada F/S y festivos mañana o tarde</t>
  </si>
  <si>
    <t>Educador L a V media jornada tarde</t>
  </si>
  <si>
    <t>Psicologo L a V media jornada tarde</t>
  </si>
  <si>
    <t xml:space="preserve">Cuidador F/S y festivos Jornada completa turno noche </t>
  </si>
  <si>
    <t>Psicólogo a jornada completa (L a V) horario partido laborables (coordinador)</t>
  </si>
  <si>
    <t>LA JEFA DEL DEPARTAMENTO DE REINSERCIÓN,</t>
  </si>
  <si>
    <t>Tecnico Integración social (fin de semana)</t>
  </si>
  <si>
    <t>Educador jornada completa F/S y festivos (mañana )</t>
  </si>
  <si>
    <t xml:space="preserve">Educador jornada completa F/S y festivos ( tarde) </t>
  </si>
  <si>
    <t>Cuidador (fin de semana y nocturnidad)</t>
  </si>
  <si>
    <t>LOTE 1: 20 Plazas CONVIVENCIALES</t>
  </si>
  <si>
    <t>LOTE 2: 10 PLAZAS APOYO A LA REINSERCIÓN</t>
  </si>
  <si>
    <t xml:space="preserve">LOTE 2: 4 Plazas de autogestión </t>
  </si>
  <si>
    <t>TOTAL SALARIOS 2018 CON SS</t>
  </si>
  <si>
    <t>SALARIOS 2016 CON COMPLEMENTO "AD PERSONAM"</t>
  </si>
  <si>
    <t>SALARIOS 2017 (1% DE INCREMENTO SOBRE 2016)</t>
  </si>
  <si>
    <t xml:space="preserve">SALARIOS BASE 2018 CON "AD PERSONAM", Y REVALORIZACION (1% SOBRE 2017) </t>
  </si>
  <si>
    <t>PLUS RESPONSABILIDAD 2018</t>
  </si>
  <si>
    <t>TOTAL SALARIOS 2018  CON PLUSES</t>
  </si>
  <si>
    <t>Gastos varios (transporte, dietas, gastos personales, actividad terapéutica etc)</t>
  </si>
  <si>
    <t>Nº puestos</t>
  </si>
  <si>
    <t>PRECIO/HORA AYUDANTE DE COCINA</t>
  </si>
  <si>
    <t>PRECIO/HORA CON SS</t>
  </si>
  <si>
    <t>TOTAL 7 HORAS SEMANALES</t>
  </si>
  <si>
    <t>TOTAL ANUAL 7 HORAS SEMANALES</t>
  </si>
  <si>
    <t>7 Horas/semana</t>
  </si>
  <si>
    <r>
      <t>Montante global de antigüedad del personal actual</t>
    </r>
    <r>
      <rPr>
        <b/>
        <sz val="12"/>
        <color rgb="FF0000FF"/>
        <rFont val="Arial"/>
        <family val="2"/>
      </rPr>
      <t>*</t>
    </r>
  </si>
  <si>
    <t>* El año 2020 es bisiesto</t>
  </si>
  <si>
    <t>En el presente contrato no se contempla la revisión de precios, dada la reciente entrada en vigor del Real Decreto 55/2017, de 3 de febrero, por el que se desarrolla la Ley 2/2015, de 30 de marzo,  de Desindexación  de la economía española, que solo permite la revisión de precios en los  contratos de obras y suministro de fabricación de armamento y equipamiento de las Administraciones Públicas, así como en aquellos contratos cuyo periodo de recuperación de la inversión sea igual o superior a cinco años, circunstancias que no se dan en el presente Servicio. Se aclara que se ha tomado como referencia, para los salarios de los profesionales afectos a la prestación del presente Servicio, los recogidos en el Convenio Estatal de Acción e Intervención Social 2015-2017, publicado en el BOE número 158, de 3 de julio de 2015.</t>
  </si>
  <si>
    <t>Coste año 2018 (1/1/18 al 31/12/18) 365 días</t>
  </si>
  <si>
    <t>Coste año 2019 (1/1/19 al 31/12/19) 365 días</t>
  </si>
  <si>
    <r>
      <t>Coste año 2020 (1/1/20 al 31/12/20)</t>
    </r>
    <r>
      <rPr>
        <b/>
        <sz val="12"/>
        <color rgb="FFFF0000"/>
        <rFont val="Calibri"/>
        <family val="2"/>
      </rPr>
      <t>* 366 días</t>
    </r>
  </si>
  <si>
    <t>AÑO 2018 (1/01/2018 a 30/11/18) 334 días</t>
  </si>
  <si>
    <t>AÑO 2019  (31/12/2018 a 30/11/2019) 365 días</t>
  </si>
  <si>
    <t>AÑO 2021  (01/12/2020 a 31/12/2020) 31 días</t>
  </si>
  <si>
    <t xml:space="preserve">Aplicando el precio/plaza/dia al cálculo del contrato se produce un pequeño desfase al alza sobre el precio anual, dado el redondeo a dos dígitos. </t>
  </si>
  <si>
    <t>En el presente contrato no se contempla la revisión de precios, dada la reciente entrada en vigor del Real Decreto 55/2017, de 3 de febrero, por el que se desarrolla la Ley 2/2015, de 30 de marzo,  de Desindexación  de la economía española, que solo permite la revisión de precios en los  contratos de obras y suministro de fabricación de armamento y equipamiento de las Administraciones Públicas, así como en aquellos contratos cuyo periodo de recuperación de la inversión sea igual o superior a cinco años, circunstancias que no se dan en el presente Servicio.Se aclara que se ha tomado como referencia, para los salarios de los profesionales afectos a la prestación del presente Servicio, los recogidos en el Convenio Estatal de Acción e Intervención Social 2015-2017, publicado en el BOE número 158, de 3 de julio de 2015.</t>
  </si>
  <si>
    <r>
      <t>Coste año 2020 (1/1/20 al 31/12/20)</t>
    </r>
    <r>
      <rPr>
        <b/>
        <sz val="12"/>
        <color rgb="FFFF0000"/>
        <rFont val="Calibri"/>
        <family val="2"/>
      </rPr>
      <t>*</t>
    </r>
    <r>
      <rPr>
        <b/>
        <sz val="11"/>
        <color indexed="8"/>
        <rFont val="Calibri"/>
        <family val="2"/>
      </rPr>
      <t xml:space="preserve"> 366 días</t>
    </r>
  </si>
  <si>
    <t>dos dígitos</t>
  </si>
  <si>
    <t>Aplicando el precio/plaza/dia al cálculo del contrato se produce un pequeño desfase al alza sobre el precio anual, dado el redondeo a</t>
  </si>
  <si>
    <t>Precio/plaza/día</t>
  </si>
  <si>
    <t>*Este Nivel del Lote 2 no incorpora antigüedad de personal según informa la entidad saliente</t>
  </si>
  <si>
    <t>a dos dígitos</t>
  </si>
  <si>
    <t xml:space="preserve">*Hay un desfase entre el coste final y la estimación de la valoracion por el redondeo a </t>
  </si>
  <si>
    <t>Coste año 2020 (1/1/20 al 31/12/20) 366 días</t>
  </si>
  <si>
    <t>LA JEFA DEL SERVICIO DE ASISTENCIA</t>
  </si>
  <si>
    <t xml:space="preserve">LA JEFA DEL DEPARTAMENTO DE REINSERCION </t>
  </si>
  <si>
    <t>AÑO 2020  (31/12/2019 a 30/11/2020) 366 días</t>
  </si>
</sst>
</file>

<file path=xl/styles.xml><?xml version="1.0" encoding="utf-8"?>
<styleSheet xmlns="http://schemas.openxmlformats.org/spreadsheetml/2006/main">
  <numFmts count="13">
    <numFmt numFmtId="8" formatCode="#,##0.00\ &quot;€&quot;;[Red]\-#,##0.00\ &quot;€&quot;"/>
    <numFmt numFmtId="44" formatCode="_-* #,##0.00\ &quot;€&quot;_-;\-* #,##0.00\ &quot;€&quot;_-;_-* &quot;-&quot;??\ &quot;€&quot;_-;_-@_-"/>
    <numFmt numFmtId="164" formatCode="_-* #,##0.00\ _p_t_a_-;\-* #,##0.00\ _p_t_a_-;_-* &quot;-&quot;??\ _p_t_a_-;_-@_-"/>
    <numFmt numFmtId="165" formatCode="#,##0.00\ [$€-1];[Red]\-#,##0.00\ [$€-1]"/>
    <numFmt numFmtId="166" formatCode="_-* #,##0.00\ [$€]_-;\-* #,##0.00\ [$€]_-;_-* &quot;-&quot;??\ [$€]_-;_-@_-"/>
    <numFmt numFmtId="167" formatCode="#,##0.00\ &quot;€&quot;"/>
    <numFmt numFmtId="168" formatCode="_-* #,##0.00\ [$€-803]_-;\-* #,##0.00\ [$€-803]_-;_-* &quot;-&quot;??\ [$€-803]_-;_-@_-"/>
    <numFmt numFmtId="169" formatCode="_-* #,##0.0\ [$€]_-;\-* #,##0.0\ [$€]_-;_-* &quot;-&quot;??\ [$€]_-;_-@_-"/>
    <numFmt numFmtId="170" formatCode="_-* #,##0.0000\ [$€]_-;\-* #,##0.0000\ [$€]_-;_-* &quot;-&quot;??\ [$€]_-;_-@_-"/>
    <numFmt numFmtId="171" formatCode="_-* #,##0.0000\ &quot;€&quot;_-;\-* #,##0.0000\ &quot;€&quot;_-;_-* &quot;-&quot;??\ &quot;€&quot;_-;_-@_-"/>
    <numFmt numFmtId="172" formatCode="#,##0.0000\ &quot;€&quot;;[Red]\-#,##0.0000\ &quot;€&quot;"/>
    <numFmt numFmtId="173" formatCode="#,##0.0000\ &quot;€&quot;"/>
    <numFmt numFmtId="174" formatCode="_-* #,##0.00\ [$€-C0A]_-;\-* #,##0.00\ [$€-C0A]_-;_-* &quot;-&quot;??\ [$€-C0A]_-;_-@_-"/>
  </numFmts>
  <fonts count="29">
    <font>
      <sz val="10"/>
      <name val="Arial"/>
    </font>
    <font>
      <sz val="10"/>
      <name val="Arial"/>
      <family val="2"/>
    </font>
    <font>
      <sz val="10"/>
      <name val="Arial"/>
      <family val="2"/>
    </font>
    <font>
      <b/>
      <sz val="10"/>
      <name val="Arial"/>
      <family val="2"/>
    </font>
    <font>
      <b/>
      <sz val="11"/>
      <color indexed="8"/>
      <name val="Calibri"/>
      <family val="2"/>
    </font>
    <font>
      <i/>
      <sz val="10"/>
      <color indexed="10"/>
      <name val="Arial"/>
      <family val="2"/>
    </font>
    <font>
      <sz val="8"/>
      <name val="Arial"/>
      <family val="2"/>
    </font>
    <font>
      <sz val="12"/>
      <name val="Calibri"/>
      <family val="2"/>
    </font>
    <font>
      <sz val="10"/>
      <name val="Calibri"/>
      <family val="2"/>
    </font>
    <font>
      <b/>
      <sz val="12"/>
      <name val="Calibri"/>
      <family val="2"/>
    </font>
    <font>
      <sz val="8"/>
      <name val="Arial"/>
      <family val="2"/>
    </font>
    <font>
      <sz val="10"/>
      <color theme="1"/>
      <name val="Arial"/>
      <family val="2"/>
    </font>
    <font>
      <b/>
      <sz val="10"/>
      <color rgb="FFFF0000"/>
      <name val="Arial"/>
      <family val="2"/>
    </font>
    <font>
      <b/>
      <sz val="10"/>
      <color theme="1"/>
      <name val="Arial"/>
      <family val="2"/>
    </font>
    <font>
      <i/>
      <sz val="10"/>
      <color rgb="FF0000FF"/>
      <name val="Arial"/>
      <family val="2"/>
    </font>
    <font>
      <sz val="10"/>
      <name val="Arial"/>
      <family val="2"/>
    </font>
    <font>
      <b/>
      <sz val="8"/>
      <name val="Arial"/>
      <family val="2"/>
    </font>
    <font>
      <sz val="8"/>
      <color theme="1"/>
      <name val="Arial"/>
      <family val="2"/>
    </font>
    <font>
      <b/>
      <sz val="10"/>
      <color rgb="FF0000FF"/>
      <name val="Arial"/>
      <family val="2"/>
    </font>
    <font>
      <b/>
      <sz val="8"/>
      <color theme="1"/>
      <name val="Arial"/>
      <family val="2"/>
    </font>
    <font>
      <b/>
      <sz val="8"/>
      <color rgb="FF0000FF"/>
      <name val="Arial"/>
      <family val="2"/>
    </font>
    <font>
      <b/>
      <sz val="12"/>
      <color rgb="FF0000FF"/>
      <name val="Arial"/>
      <family val="2"/>
    </font>
    <font>
      <b/>
      <sz val="12"/>
      <color rgb="FFFF0000"/>
      <name val="Calibri"/>
      <family val="2"/>
    </font>
    <font>
      <i/>
      <sz val="10"/>
      <color rgb="FFFF0000"/>
      <name val="Arial"/>
      <family val="2"/>
    </font>
    <font>
      <i/>
      <sz val="10"/>
      <color rgb="FFFF0000"/>
      <name val="Calibri"/>
      <family val="2"/>
    </font>
    <font>
      <i/>
      <sz val="11"/>
      <color indexed="8"/>
      <name val="Calibri"/>
      <family val="2"/>
    </font>
    <font>
      <i/>
      <sz val="10"/>
      <name val="Arial"/>
      <family val="2"/>
    </font>
    <font>
      <i/>
      <sz val="9"/>
      <name val="Arial"/>
      <family val="2"/>
    </font>
    <font>
      <i/>
      <sz val="9"/>
      <color rgb="FFFF000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D7E4BC"/>
        <bgColor indexed="64"/>
      </patternFill>
    </fill>
  </fills>
  <borders count="47">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s>
  <cellStyleXfs count="6">
    <xf numFmtId="0" fontId="0" fillId="0" borderId="0"/>
    <xf numFmtId="166" fontId="1" fillId="0" borderId="0" applyFont="0" applyFill="0" applyBorder="0" applyAlignment="0" applyProtection="0"/>
    <xf numFmtId="164" fontId="2" fillId="0" borderId="0" applyFont="0" applyFill="0" applyBorder="0" applyAlignment="0" applyProtection="0"/>
    <xf numFmtId="0" fontId="2" fillId="0" borderId="0"/>
    <xf numFmtId="0" fontId="1" fillId="0" borderId="0"/>
    <xf numFmtId="44" fontId="15" fillId="0" borderId="0" applyFont="0" applyFill="0" applyBorder="0" applyAlignment="0" applyProtection="0"/>
  </cellStyleXfs>
  <cellXfs count="258">
    <xf numFmtId="0" fontId="0" fillId="0" borderId="0" xfId="0"/>
    <xf numFmtId="166" fontId="0" fillId="0" borderId="0" xfId="1" applyFont="1"/>
    <xf numFmtId="0" fontId="3" fillId="0" borderId="0" xfId="0" applyFont="1" applyAlignment="1">
      <alignment horizontal="center"/>
    </xf>
    <xf numFmtId="0" fontId="2" fillId="0" borderId="0" xfId="0" applyFont="1"/>
    <xf numFmtId="8" fontId="0" fillId="0" borderId="0" xfId="0" applyNumberFormat="1"/>
    <xf numFmtId="4" fontId="0" fillId="0" borderId="0" xfId="0" applyNumberFormat="1"/>
    <xf numFmtId="4" fontId="5" fillId="0" borderId="0" xfId="0" applyNumberFormat="1" applyFont="1"/>
    <xf numFmtId="0" fontId="4" fillId="0" borderId="4" xfId="0" applyFont="1" applyBorder="1"/>
    <xf numFmtId="0" fontId="0" fillId="0" borderId="5" xfId="0" applyBorder="1"/>
    <xf numFmtId="0" fontId="0" fillId="0" borderId="6" xfId="0" applyBorder="1"/>
    <xf numFmtId="0" fontId="2" fillId="0" borderId="0" xfId="0" applyFont="1" applyAlignment="1">
      <alignment horizontal="center"/>
    </xf>
    <xf numFmtId="8" fontId="7" fillId="0" borderId="7" xfId="0" applyNumberFormat="1" applyFont="1" applyBorder="1" applyAlignment="1">
      <alignment horizontal="center"/>
    </xf>
    <xf numFmtId="0" fontId="7" fillId="0" borderId="8" xfId="0" applyFont="1" applyBorder="1" applyAlignment="1">
      <alignment horizontal="center"/>
    </xf>
    <xf numFmtId="0" fontId="2" fillId="0" borderId="9" xfId="0" applyFont="1" applyBorder="1"/>
    <xf numFmtId="0" fontId="2" fillId="0" borderId="1" xfId="0" applyFont="1" applyBorder="1"/>
    <xf numFmtId="166" fontId="0" fillId="0" borderId="4" xfId="1" applyFont="1" applyBorder="1"/>
    <xf numFmtId="166" fontId="0" fillId="0" borderId="10" xfId="1" applyFont="1" applyBorder="1"/>
    <xf numFmtId="166" fontId="0" fillId="0" borderId="11" xfId="1" applyFont="1" applyBorder="1"/>
    <xf numFmtId="166" fontId="0" fillId="0" borderId="4" xfId="1" applyFont="1" applyBorder="1" applyAlignment="1">
      <alignment horizontal="center"/>
    </xf>
    <xf numFmtId="166" fontId="0" fillId="0" borderId="12" xfId="1" applyFont="1" applyBorder="1" applyAlignment="1">
      <alignment horizontal="center"/>
    </xf>
    <xf numFmtId="0" fontId="3" fillId="0" borderId="0" xfId="0" applyFont="1" applyFill="1"/>
    <xf numFmtId="0" fontId="0" fillId="0" borderId="0" xfId="0" applyFill="1"/>
    <xf numFmtId="4" fontId="0" fillId="0" borderId="0" xfId="0" applyNumberFormat="1" applyFill="1"/>
    <xf numFmtId="4" fontId="3" fillId="0" borderId="0" xfId="0" applyNumberFormat="1" applyFont="1" applyFill="1"/>
    <xf numFmtId="0" fontId="10" fillId="0" borderId="0" xfId="0" applyFont="1"/>
    <xf numFmtId="0" fontId="3" fillId="2" borderId="0" xfId="0" applyFont="1" applyFill="1"/>
    <xf numFmtId="4" fontId="0" fillId="2" borderId="0" xfId="0" applyNumberFormat="1" applyFill="1"/>
    <xf numFmtId="4" fontId="3" fillId="2" borderId="0" xfId="0" applyNumberFormat="1" applyFont="1" applyFill="1"/>
    <xf numFmtId="0" fontId="3" fillId="0" borderId="0" xfId="0" applyFont="1" applyFill="1" applyProtection="1">
      <protection locked="0"/>
    </xf>
    <xf numFmtId="0" fontId="11" fillId="0" borderId="0" xfId="0" applyNumberFormat="1" applyFont="1" applyAlignment="1">
      <alignment vertical="justify" wrapText="1"/>
    </xf>
    <xf numFmtId="0" fontId="2" fillId="0" borderId="0" xfId="0" applyFont="1" applyProtection="1">
      <protection locked="0"/>
    </xf>
    <xf numFmtId="0" fontId="11" fillId="0" borderId="0" xfId="0" applyNumberFormat="1" applyFont="1" applyAlignment="1">
      <alignment horizontal="justify" vertical="justify" wrapText="1"/>
    </xf>
    <xf numFmtId="0" fontId="11" fillId="0" borderId="13" xfId="0" applyNumberFormat="1" applyFont="1" applyBorder="1" applyAlignment="1">
      <alignment vertical="justify" wrapText="1"/>
    </xf>
    <xf numFmtId="0" fontId="3" fillId="2" borderId="14" xfId="0" applyFont="1" applyFill="1" applyBorder="1"/>
    <xf numFmtId="0" fontId="4" fillId="2" borderId="4" xfId="0" applyFont="1" applyFill="1" applyBorder="1"/>
    <xf numFmtId="166" fontId="0" fillId="0" borderId="15" xfId="1" applyFont="1" applyBorder="1" applyAlignment="1">
      <alignment horizontal="center"/>
    </xf>
    <xf numFmtId="166" fontId="0" fillId="0" borderId="16" xfId="1" applyFont="1" applyBorder="1" applyAlignment="1">
      <alignment horizontal="center"/>
    </xf>
    <xf numFmtId="0" fontId="4" fillId="0" borderId="17" xfId="0" applyFont="1" applyBorder="1"/>
    <xf numFmtId="166" fontId="0" fillId="0" borderId="18" xfId="1" applyFont="1" applyBorder="1"/>
    <xf numFmtId="0" fontId="0" fillId="0" borderId="4" xfId="0" applyBorder="1" applyAlignment="1">
      <alignment horizontal="left" vertical="top" wrapText="1"/>
    </xf>
    <xf numFmtId="166" fontId="4" fillId="2" borderId="4" xfId="1" applyFont="1" applyFill="1" applyBorder="1"/>
    <xf numFmtId="167" fontId="3" fillId="0" borderId="1" xfId="0" applyNumberFormat="1" applyFont="1" applyBorder="1" applyAlignment="1">
      <alignment horizontal="right"/>
    </xf>
    <xf numFmtId="0" fontId="3" fillId="2" borderId="23" xfId="0" applyFont="1" applyFill="1" applyBorder="1"/>
    <xf numFmtId="8" fontId="9" fillId="2" borderId="7" xfId="0" applyNumberFormat="1" applyFont="1" applyFill="1" applyBorder="1" applyAlignment="1">
      <alignment horizontal="center"/>
    </xf>
    <xf numFmtId="0" fontId="13" fillId="2" borderId="0" xfId="0" applyFont="1" applyFill="1" applyBorder="1" applyAlignment="1">
      <alignment vertical="center"/>
    </xf>
    <xf numFmtId="8" fontId="13" fillId="2" borderId="0" xfId="0" applyNumberFormat="1" applyFont="1" applyFill="1" applyBorder="1" applyAlignment="1">
      <alignment horizontal="right" vertical="center" wrapText="1"/>
    </xf>
    <xf numFmtId="0" fontId="2" fillId="2" borderId="0" xfId="0" applyFont="1" applyFill="1" applyBorder="1" applyAlignment="1">
      <alignment vertical="center"/>
    </xf>
    <xf numFmtId="8" fontId="2" fillId="2" borderId="0" xfId="0" applyNumberFormat="1" applyFont="1" applyFill="1" applyBorder="1" applyAlignment="1">
      <alignment horizontal="right" vertical="center" wrapText="1"/>
    </xf>
    <xf numFmtId="0" fontId="11" fillId="2" borderId="0" xfId="0" applyFont="1" applyFill="1" applyBorder="1" applyAlignment="1">
      <alignment vertical="center"/>
    </xf>
    <xf numFmtId="8" fontId="11" fillId="2" borderId="0" xfId="0" applyNumberFormat="1" applyFont="1" applyFill="1" applyBorder="1" applyAlignment="1">
      <alignment horizontal="right" vertical="center" wrapText="1"/>
    </xf>
    <xf numFmtId="0" fontId="1" fillId="0" borderId="0" xfId="4" applyFont="1"/>
    <xf numFmtId="0" fontId="3" fillId="0" borderId="0" xfId="4" applyFont="1"/>
    <xf numFmtId="166" fontId="1" fillId="0" borderId="0" xfId="1" applyFont="1"/>
    <xf numFmtId="0" fontId="3" fillId="0" borderId="0" xfId="4" applyFont="1" applyAlignment="1">
      <alignment horizontal="center"/>
    </xf>
    <xf numFmtId="165" fontId="1" fillId="0" borderId="0" xfId="4" applyNumberFormat="1" applyFont="1"/>
    <xf numFmtId="165" fontId="1" fillId="0" borderId="0" xfId="4" applyNumberFormat="1" applyFont="1" applyAlignment="1">
      <alignment vertical="center"/>
    </xf>
    <xf numFmtId="0" fontId="3" fillId="2" borderId="0" xfId="4" applyFont="1" applyFill="1"/>
    <xf numFmtId="0" fontId="1" fillId="2" borderId="0" xfId="4" applyFont="1" applyFill="1"/>
    <xf numFmtId="165" fontId="1" fillId="2" borderId="0" xfId="4" applyNumberFormat="1" applyFont="1" applyFill="1"/>
    <xf numFmtId="0" fontId="1" fillId="2" borderId="0" xfId="4" applyFont="1" applyFill="1" applyAlignment="1">
      <alignment vertical="center"/>
    </xf>
    <xf numFmtId="165" fontId="1" fillId="2" borderId="0" xfId="4" applyNumberFormat="1" applyFont="1" applyFill="1" applyAlignment="1">
      <alignment vertical="center"/>
    </xf>
    <xf numFmtId="165" fontId="3" fillId="2" borderId="0" xfId="4" applyNumberFormat="1" applyFont="1" applyFill="1"/>
    <xf numFmtId="165" fontId="1" fillId="0" borderId="24" xfId="4" applyNumberFormat="1" applyFont="1" applyBorder="1" applyAlignment="1">
      <alignment vertical="center"/>
    </xf>
    <xf numFmtId="0" fontId="1" fillId="0" borderId="0" xfId="4" applyFont="1" applyAlignment="1">
      <alignment vertical="center"/>
    </xf>
    <xf numFmtId="165" fontId="3" fillId="0" borderId="0" xfId="4" applyNumberFormat="1" applyFont="1" applyAlignment="1">
      <alignment vertical="center"/>
    </xf>
    <xf numFmtId="0" fontId="3" fillId="2" borderId="0" xfId="4" applyFont="1" applyFill="1" applyAlignment="1">
      <alignment vertical="center"/>
    </xf>
    <xf numFmtId="165" fontId="3" fillId="2" borderId="0" xfId="4" applyNumberFormat="1" applyFont="1" applyFill="1" applyAlignment="1">
      <alignment vertical="center"/>
    </xf>
    <xf numFmtId="0" fontId="14" fillId="0" borderId="0" xfId="4" applyFont="1" applyProtection="1">
      <protection locked="0"/>
    </xf>
    <xf numFmtId="165" fontId="3" fillId="0" borderId="0" xfId="4" applyNumberFormat="1" applyFont="1"/>
    <xf numFmtId="0" fontId="1" fillId="0" borderId="0" xfId="4" applyFont="1" applyAlignment="1">
      <alignment vertical="top"/>
    </xf>
    <xf numFmtId="0" fontId="3" fillId="2" borderId="25" xfId="4" applyFont="1" applyFill="1" applyBorder="1" applyAlignment="1">
      <alignment horizontal="center"/>
    </xf>
    <xf numFmtId="8" fontId="3" fillId="2" borderId="26" xfId="4" applyNumberFormat="1" applyFont="1" applyFill="1" applyBorder="1" applyAlignment="1">
      <alignment horizontal="center"/>
    </xf>
    <xf numFmtId="0" fontId="1" fillId="0" borderId="0" xfId="4" applyFont="1" applyBorder="1" applyAlignment="1">
      <alignment horizontal="left" vertical="top" wrapText="1"/>
    </xf>
    <xf numFmtId="8" fontId="1" fillId="0" borderId="4" xfId="4" applyNumberFormat="1" applyFont="1" applyBorder="1"/>
    <xf numFmtId="8" fontId="3" fillId="2" borderId="1" xfId="4" applyNumberFormat="1" applyFont="1" applyFill="1" applyBorder="1"/>
    <xf numFmtId="8" fontId="3" fillId="2" borderId="2" xfId="4" applyNumberFormat="1" applyFont="1" applyFill="1" applyBorder="1"/>
    <xf numFmtId="0" fontId="11" fillId="0" borderId="0" xfId="4" applyNumberFormat="1" applyFont="1" applyAlignment="1">
      <alignment horizontal="justify" vertical="justify" wrapText="1"/>
    </xf>
    <xf numFmtId="0" fontId="11" fillId="0" borderId="0" xfId="4" applyNumberFormat="1" applyFont="1" applyBorder="1" applyAlignment="1">
      <alignment vertical="justify" wrapText="1"/>
    </xf>
    <xf numFmtId="0" fontId="11" fillId="0" borderId="0" xfId="4" applyNumberFormat="1" applyFont="1" applyAlignment="1">
      <alignment vertical="justify" wrapText="1"/>
    </xf>
    <xf numFmtId="0" fontId="1" fillId="0" borderId="0" xfId="4" applyFont="1" applyProtection="1">
      <protection locked="0"/>
    </xf>
    <xf numFmtId="0" fontId="1" fillId="0" borderId="0" xfId="4" applyFont="1" applyAlignment="1" applyProtection="1">
      <alignment horizontal="center" wrapText="1"/>
      <protection locked="0"/>
    </xf>
    <xf numFmtId="0" fontId="1" fillId="0" borderId="0" xfId="4" applyFont="1" applyAlignment="1">
      <alignment horizontal="center"/>
    </xf>
    <xf numFmtId="8" fontId="1" fillId="0" borderId="12" xfId="4" applyNumberFormat="1" applyFont="1" applyBorder="1"/>
    <xf numFmtId="0" fontId="11" fillId="0" borderId="0" xfId="4" applyNumberFormat="1" applyFont="1" applyBorder="1" applyAlignment="1">
      <alignment horizontal="left" vertical="justify" wrapText="1"/>
    </xf>
    <xf numFmtId="0" fontId="1" fillId="0" borderId="0" xfId="4" applyFont="1" applyBorder="1"/>
    <xf numFmtId="165" fontId="1" fillId="0" borderId="0" xfId="4" applyNumberFormat="1" applyFont="1" applyAlignment="1">
      <alignment horizontal="center"/>
    </xf>
    <xf numFmtId="165" fontId="1" fillId="2" borderId="24" xfId="4" applyNumberFormat="1" applyFont="1" applyFill="1" applyBorder="1"/>
    <xf numFmtId="3" fontId="1" fillId="0" borderId="0" xfId="4" applyNumberFormat="1" applyFont="1"/>
    <xf numFmtId="0" fontId="1" fillId="0" borderId="0" xfId="4" applyFont="1" applyBorder="1" applyAlignment="1">
      <alignment vertical="top" wrapText="1"/>
    </xf>
    <xf numFmtId="8" fontId="1" fillId="0" borderId="4" xfId="4" applyNumberFormat="1" applyFont="1" applyBorder="1" applyAlignment="1">
      <alignment horizontal="right"/>
    </xf>
    <xf numFmtId="0" fontId="11" fillId="0" borderId="13" xfId="4" applyNumberFormat="1" applyFont="1" applyBorder="1" applyAlignment="1">
      <alignment vertical="justify" wrapText="1"/>
    </xf>
    <xf numFmtId="167" fontId="3" fillId="0" borderId="2" xfId="0" applyNumberFormat="1" applyFont="1" applyBorder="1" applyAlignment="1">
      <alignment horizontal="right"/>
    </xf>
    <xf numFmtId="0" fontId="3" fillId="2" borderId="3" xfId="4" applyFont="1" applyFill="1" applyBorder="1"/>
    <xf numFmtId="8" fontId="3" fillId="2" borderId="1" xfId="4" applyNumberFormat="1" applyFont="1" applyFill="1" applyBorder="1" applyAlignment="1">
      <alignment horizontal="right"/>
    </xf>
    <xf numFmtId="8" fontId="3" fillId="2" borderId="2" xfId="4" applyNumberFormat="1" applyFont="1" applyFill="1" applyBorder="1" applyAlignment="1">
      <alignment horizontal="right"/>
    </xf>
    <xf numFmtId="0" fontId="1" fillId="0" borderId="0" xfId="0" applyFont="1" applyAlignment="1">
      <alignment vertical="top"/>
    </xf>
    <xf numFmtId="0" fontId="1" fillId="0" borderId="0" xfId="0" applyFont="1" applyAlignment="1">
      <alignment horizontal="justify" vertical="top"/>
    </xf>
    <xf numFmtId="0" fontId="1" fillId="0" borderId="0" xfId="0" applyFont="1" applyFill="1" applyProtection="1">
      <protection locked="0"/>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wrapText="1"/>
    </xf>
    <xf numFmtId="167" fontId="0" fillId="0" borderId="0" xfId="0" applyNumberFormat="1"/>
    <xf numFmtId="0" fontId="4" fillId="0" borderId="6" xfId="0" applyFont="1" applyBorder="1"/>
    <xf numFmtId="0" fontId="4" fillId="2" borderId="3" xfId="0" applyFont="1" applyFill="1" applyBorder="1"/>
    <xf numFmtId="166" fontId="4" fillId="2" borderId="1" xfId="1" applyFont="1" applyFill="1" applyBorder="1"/>
    <xf numFmtId="166" fontId="4" fillId="2" borderId="2" xfId="1" applyFont="1" applyFill="1" applyBorder="1"/>
    <xf numFmtId="0" fontId="7" fillId="0" borderId="19" xfId="0" applyFont="1" applyBorder="1" applyAlignment="1">
      <alignment horizontal="center"/>
    </xf>
    <xf numFmtId="0" fontId="3" fillId="0" borderId="18" xfId="0" applyFont="1" applyBorder="1" applyAlignment="1">
      <alignment horizontal="center"/>
    </xf>
    <xf numFmtId="8" fontId="3" fillId="0" borderId="22" xfId="0" applyNumberFormat="1" applyFont="1" applyBorder="1" applyAlignment="1">
      <alignment horizontal="center"/>
    </xf>
    <xf numFmtId="0" fontId="2" fillId="0" borderId="25" xfId="0" applyFont="1" applyBorder="1"/>
    <xf numFmtId="167" fontId="3" fillId="2" borderId="43" xfId="0" applyNumberFormat="1" applyFont="1" applyFill="1" applyBorder="1" applyAlignment="1">
      <alignment horizontal="right"/>
    </xf>
    <xf numFmtId="167" fontId="3" fillId="2" borderId="44" xfId="0" applyNumberFormat="1" applyFont="1" applyFill="1" applyBorder="1" applyAlignment="1">
      <alignment horizontal="right"/>
    </xf>
    <xf numFmtId="0" fontId="11" fillId="0" borderId="0" xfId="4" applyFont="1" applyBorder="1" applyAlignment="1">
      <alignment horizontal="left" vertical="justify" wrapText="1"/>
    </xf>
    <xf numFmtId="0" fontId="6" fillId="0" borderId="0" xfId="4" applyFont="1" applyAlignment="1">
      <alignment vertical="top"/>
    </xf>
    <xf numFmtId="0" fontId="1" fillId="0" borderId="0" xfId="4" applyFont="1" applyAlignment="1">
      <alignment horizontal="center" vertical="top" wrapText="1"/>
    </xf>
    <xf numFmtId="0" fontId="1" fillId="0" borderId="0" xfId="4" applyFont="1" applyAlignment="1">
      <alignment vertical="top" wrapText="1"/>
    </xf>
    <xf numFmtId="0" fontId="1" fillId="0" borderId="0" xfId="4" applyFont="1" applyAlignment="1">
      <alignment horizontal="left" vertical="top" wrapText="1"/>
    </xf>
    <xf numFmtId="0" fontId="3" fillId="0" borderId="0" xfId="4" applyFont="1" applyAlignment="1">
      <alignment vertical="top"/>
    </xf>
    <xf numFmtId="0" fontId="3" fillId="0" borderId="0" xfId="4" applyFont="1" applyFill="1" applyAlignment="1" applyProtection="1">
      <alignment vertical="top" wrapText="1"/>
      <protection locked="0"/>
    </xf>
    <xf numFmtId="0" fontId="3" fillId="2" borderId="0" xfId="4" applyFont="1" applyFill="1" applyAlignment="1">
      <alignment vertical="top"/>
    </xf>
    <xf numFmtId="0" fontId="14" fillId="0" borderId="0" xfId="4" applyFont="1" applyAlignment="1" applyProtection="1">
      <alignment vertical="top"/>
      <protection locked="0"/>
    </xf>
    <xf numFmtId="0" fontId="3" fillId="2" borderId="14" xfId="4" applyFont="1" applyFill="1" applyBorder="1" applyAlignment="1">
      <alignment vertical="top"/>
    </xf>
    <xf numFmtId="0" fontId="11" fillId="0" borderId="0" xfId="4" applyNumberFormat="1" applyFont="1" applyAlignment="1">
      <alignment horizontal="justify" vertical="top" wrapText="1"/>
    </xf>
    <xf numFmtId="0" fontId="11" fillId="0" borderId="28" xfId="4" applyNumberFormat="1" applyFont="1" applyBorder="1" applyAlignment="1">
      <alignment vertical="top" wrapText="1"/>
    </xf>
    <xf numFmtId="0" fontId="1" fillId="0" borderId="0" xfId="4" applyFont="1" applyAlignment="1" applyProtection="1">
      <alignment vertical="top"/>
      <protection locked="0"/>
    </xf>
    <xf numFmtId="0" fontId="12" fillId="0" borderId="0" xfId="4" applyFont="1" applyAlignment="1"/>
    <xf numFmtId="0" fontId="3" fillId="2" borderId="5" xfId="4" applyFont="1" applyFill="1" applyBorder="1" applyAlignment="1">
      <alignment vertical="top" wrapText="1"/>
    </xf>
    <xf numFmtId="0" fontId="3" fillId="0" borderId="0" xfId="4" applyFont="1" applyAlignment="1">
      <alignment horizontal="center" vertical="top"/>
    </xf>
    <xf numFmtId="165" fontId="1" fillId="0" borderId="0" xfId="4" applyNumberFormat="1" applyFont="1" applyAlignment="1">
      <alignment vertical="top" wrapText="1"/>
    </xf>
    <xf numFmtId="165" fontId="1" fillId="0" borderId="0" xfId="4" applyNumberFormat="1" applyFont="1" applyAlignment="1">
      <alignment vertical="top"/>
    </xf>
    <xf numFmtId="0" fontId="1" fillId="2" borderId="0" xfId="4" applyFont="1" applyFill="1" applyAlignment="1">
      <alignment vertical="top"/>
    </xf>
    <xf numFmtId="165" fontId="1" fillId="2" borderId="0" xfId="4" applyNumberFormat="1" applyFont="1" applyFill="1" applyAlignment="1">
      <alignment horizontal="center" vertical="top"/>
    </xf>
    <xf numFmtId="165" fontId="1" fillId="2" borderId="0" xfId="4" applyNumberFormat="1" applyFont="1" applyFill="1" applyAlignment="1">
      <alignment vertical="top"/>
    </xf>
    <xf numFmtId="0" fontId="11" fillId="2" borderId="0" xfId="4" applyFont="1" applyFill="1" applyBorder="1" applyAlignment="1">
      <alignment vertical="top"/>
    </xf>
    <xf numFmtId="8" fontId="11" fillId="2" borderId="24" xfId="4" applyNumberFormat="1" applyFont="1" applyFill="1" applyBorder="1" applyAlignment="1">
      <alignment horizontal="right" vertical="top" wrapText="1"/>
    </xf>
    <xf numFmtId="165" fontId="3" fillId="2" borderId="0" xfId="4" applyNumberFormat="1" applyFont="1" applyFill="1" applyAlignment="1">
      <alignment vertical="top"/>
    </xf>
    <xf numFmtId="8" fontId="1" fillId="0" borderId="45" xfId="4" applyNumberFormat="1" applyFont="1" applyBorder="1"/>
    <xf numFmtId="0" fontId="3" fillId="0" borderId="0" xfId="4" applyFont="1" applyFill="1" applyBorder="1" applyAlignment="1">
      <alignment horizontal="center" vertical="top" wrapText="1"/>
    </xf>
    <xf numFmtId="8" fontId="3" fillId="0" borderId="0" xfId="4" applyNumberFormat="1" applyFont="1" applyFill="1" applyBorder="1" applyAlignment="1">
      <alignment horizontal="right"/>
    </xf>
    <xf numFmtId="0" fontId="16" fillId="0" borderId="0" xfId="4" applyFont="1" applyFill="1" applyAlignment="1" applyProtection="1">
      <alignment vertical="top" wrapText="1"/>
      <protection locked="0"/>
    </xf>
    <xf numFmtId="0" fontId="3" fillId="3" borderId="0" xfId="4" applyFont="1" applyFill="1" applyBorder="1" applyAlignment="1">
      <alignment vertical="top"/>
    </xf>
    <xf numFmtId="8" fontId="3" fillId="3" borderId="0" xfId="4" applyNumberFormat="1" applyFont="1" applyFill="1" applyBorder="1"/>
    <xf numFmtId="0" fontId="4" fillId="3" borderId="0" xfId="0" applyFont="1" applyFill="1" applyBorder="1"/>
    <xf numFmtId="166" fontId="4" fillId="3" borderId="0" xfId="1" applyFont="1" applyFill="1" applyBorder="1"/>
    <xf numFmtId="0" fontId="4" fillId="0" borderId="5" xfId="0" applyFont="1" applyBorder="1"/>
    <xf numFmtId="8" fontId="1" fillId="0" borderId="25" xfId="4" applyNumberFormat="1" applyFont="1" applyBorder="1" applyAlignment="1">
      <alignment horizontal="right"/>
    </xf>
    <xf numFmtId="8" fontId="1" fillId="0" borderId="26" xfId="4" applyNumberFormat="1" applyFont="1" applyBorder="1" applyAlignment="1">
      <alignment horizontal="right"/>
    </xf>
    <xf numFmtId="8" fontId="1" fillId="0" borderId="12" xfId="4" applyNumberFormat="1" applyFont="1" applyBorder="1" applyAlignment="1">
      <alignment horizontal="right"/>
    </xf>
    <xf numFmtId="166" fontId="0" fillId="0" borderId="22" xfId="1" applyFont="1" applyBorder="1"/>
    <xf numFmtId="0" fontId="0" fillId="4" borderId="5" xfId="0" applyFill="1" applyBorder="1"/>
    <xf numFmtId="166" fontId="0" fillId="4" borderId="25" xfId="1" applyFont="1" applyFill="1" applyBorder="1" applyAlignment="1">
      <alignment horizontal="center"/>
    </xf>
    <xf numFmtId="166" fontId="0" fillId="4" borderId="26" xfId="1" applyFont="1" applyFill="1" applyBorder="1" applyAlignment="1">
      <alignment horizontal="center"/>
    </xf>
    <xf numFmtId="8" fontId="17" fillId="0" borderId="4" xfId="0" applyNumberFormat="1" applyFont="1" applyBorder="1" applyAlignment="1">
      <alignment horizontal="center" vertical="center"/>
    </xf>
    <xf numFmtId="0" fontId="6" fillId="0" borderId="4" xfId="0" applyFont="1" applyBorder="1"/>
    <xf numFmtId="0" fontId="17" fillId="0" borderId="4" xfId="0" applyFont="1" applyBorder="1" applyAlignment="1">
      <alignment vertical="center"/>
    </xf>
    <xf numFmtId="0" fontId="6" fillId="0" borderId="4" xfId="0" applyFont="1" applyFill="1" applyBorder="1"/>
    <xf numFmtId="167" fontId="1" fillId="0" borderId="0" xfId="4" applyNumberFormat="1" applyAlignment="1">
      <alignment vertical="top" wrapText="1"/>
    </xf>
    <xf numFmtId="8" fontId="1" fillId="0" borderId="0" xfId="4" applyNumberFormat="1" applyFont="1"/>
    <xf numFmtId="168" fontId="0" fillId="0" borderId="0" xfId="0" applyNumberFormat="1"/>
    <xf numFmtId="169" fontId="0" fillId="0" borderId="0" xfId="1" applyNumberFormat="1" applyFont="1"/>
    <xf numFmtId="170" fontId="3" fillId="2" borderId="0" xfId="1" applyNumberFormat="1" applyFont="1" applyFill="1"/>
    <xf numFmtId="168" fontId="0" fillId="0" borderId="0" xfId="0" applyNumberFormat="1" applyAlignment="1">
      <alignment horizontal="left" vertical="top"/>
    </xf>
    <xf numFmtId="171" fontId="3" fillId="2" borderId="4" xfId="5" applyNumberFormat="1" applyFont="1" applyFill="1" applyBorder="1" applyAlignment="1">
      <alignment horizontal="center"/>
    </xf>
    <xf numFmtId="172" fontId="3" fillId="2" borderId="12" xfId="4" applyNumberFormat="1" applyFont="1" applyFill="1" applyBorder="1" applyAlignment="1">
      <alignment horizontal="center"/>
    </xf>
    <xf numFmtId="172" fontId="3" fillId="2" borderId="1" xfId="4" applyNumberFormat="1" applyFont="1" applyFill="1" applyBorder="1" applyAlignment="1">
      <alignment horizontal="right"/>
    </xf>
    <xf numFmtId="172" fontId="3" fillId="2" borderId="2" xfId="4" applyNumberFormat="1" applyFont="1" applyFill="1" applyBorder="1" applyAlignment="1">
      <alignment horizontal="right"/>
    </xf>
    <xf numFmtId="173" fontId="3" fillId="0" borderId="40" xfId="0" applyNumberFormat="1" applyFont="1" applyBorder="1" applyAlignment="1">
      <alignment horizontal="right"/>
    </xf>
    <xf numFmtId="173" fontId="3" fillId="0" borderId="41" xfId="0" applyNumberFormat="1" applyFont="1" applyBorder="1" applyAlignment="1">
      <alignment horizontal="right"/>
    </xf>
    <xf numFmtId="173" fontId="3" fillId="0" borderId="20" xfId="0" applyNumberFormat="1" applyFont="1" applyBorder="1" applyAlignment="1">
      <alignment horizontal="right"/>
    </xf>
    <xf numFmtId="173" fontId="3" fillId="0" borderId="21" xfId="0" applyNumberFormat="1" applyFont="1" applyBorder="1" applyAlignment="1">
      <alignment horizontal="right"/>
    </xf>
    <xf numFmtId="173" fontId="7" fillId="0" borderId="7" xfId="0" applyNumberFormat="1" applyFont="1" applyBorder="1" applyAlignment="1">
      <alignment horizontal="center"/>
    </xf>
    <xf numFmtId="172" fontId="7" fillId="2" borderId="7" xfId="0" applyNumberFormat="1" applyFont="1" applyFill="1" applyBorder="1" applyAlignment="1">
      <alignment horizontal="center"/>
    </xf>
    <xf numFmtId="0" fontId="1" fillId="0" borderId="0" xfId="4" applyFont="1" applyBorder="1" applyAlignment="1">
      <alignment horizontal="left" vertical="top" wrapText="1"/>
    </xf>
    <xf numFmtId="0" fontId="18" fillId="0" borderId="0" xfId="0" applyFont="1" applyAlignment="1">
      <alignment horizontal="left"/>
    </xf>
    <xf numFmtId="0" fontId="18" fillId="0" borderId="0" xfId="4" applyFont="1" applyAlignment="1"/>
    <xf numFmtId="0" fontId="18" fillId="0" borderId="0" xfId="4" applyFont="1" applyAlignment="1">
      <alignment vertical="top"/>
    </xf>
    <xf numFmtId="0" fontId="16" fillId="0" borderId="4" xfId="0" applyFont="1" applyBorder="1" applyAlignment="1">
      <alignment horizontal="center" wrapText="1"/>
    </xf>
    <xf numFmtId="0" fontId="16" fillId="0" borderId="4" xfId="0" applyFont="1" applyBorder="1" applyAlignment="1">
      <alignment horizontal="center" vertical="center" wrapText="1"/>
    </xf>
    <xf numFmtId="174" fontId="6" fillId="0" borderId="4" xfId="0" applyNumberFormat="1" applyFont="1" applyBorder="1" applyAlignment="1">
      <alignment horizontal="center"/>
    </xf>
    <xf numFmtId="174" fontId="6" fillId="0" borderId="4" xfId="0" applyNumberFormat="1" applyFont="1" applyBorder="1" applyAlignment="1"/>
    <xf numFmtId="8" fontId="19" fillId="0" borderId="4" xfId="0" applyNumberFormat="1" applyFont="1" applyBorder="1" applyAlignment="1">
      <alignment horizontal="center" vertical="center"/>
    </xf>
    <xf numFmtId="0" fontId="16" fillId="0" borderId="0" xfId="0" applyFont="1" applyAlignment="1">
      <alignment horizontal="center" vertical="top"/>
    </xf>
    <xf numFmtId="0" fontId="3" fillId="0" borderId="0" xfId="4" applyFont="1" applyAlignment="1">
      <alignment horizontal="center" vertical="top" wrapText="1"/>
    </xf>
    <xf numFmtId="0" fontId="20" fillId="0" borderId="0" xfId="4" applyFont="1" applyAlignment="1">
      <alignment horizontal="center" vertical="center"/>
    </xf>
    <xf numFmtId="0" fontId="20" fillId="0" borderId="0" xfId="0" applyFont="1"/>
    <xf numFmtId="0" fontId="6" fillId="0" borderId="0" xfId="0" applyFont="1" applyFill="1" applyBorder="1"/>
    <xf numFmtId="174" fontId="0" fillId="0" borderId="0" xfId="0" applyNumberFormat="1"/>
    <xf numFmtId="0" fontId="16" fillId="0" borderId="0" xfId="0" applyFont="1" applyFill="1" applyBorder="1"/>
    <xf numFmtId="174" fontId="3" fillId="0" borderId="0" xfId="0" applyNumberFormat="1" applyFont="1"/>
    <xf numFmtId="0" fontId="4" fillId="0" borderId="0" xfId="0" applyFont="1" applyFill="1" applyBorder="1"/>
    <xf numFmtId="166" fontId="1" fillId="0" borderId="18" xfId="1" applyFont="1" applyBorder="1"/>
    <xf numFmtId="0" fontId="1" fillId="0" borderId="0" xfId="4" applyFont="1" applyBorder="1" applyAlignment="1">
      <alignment horizontal="left" vertical="top"/>
    </xf>
    <xf numFmtId="0" fontId="23" fillId="0" borderId="0" xfId="4" applyFont="1" applyBorder="1" applyAlignment="1">
      <alignment horizontal="left" vertical="top"/>
    </xf>
    <xf numFmtId="0" fontId="24" fillId="0" borderId="0" xfId="0" applyFont="1" applyFill="1" applyBorder="1"/>
    <xf numFmtId="0" fontId="25" fillId="0" borderId="46" xfId="0" applyFont="1" applyFill="1" applyBorder="1"/>
    <xf numFmtId="0" fontId="18" fillId="0" borderId="6" xfId="4" applyFont="1" applyFill="1" applyBorder="1" applyAlignment="1">
      <alignment vertical="top" wrapText="1"/>
    </xf>
    <xf numFmtId="0" fontId="26" fillId="0" borderId="0" xfId="4" applyFont="1" applyBorder="1" applyAlignment="1">
      <alignment horizontal="left" vertical="top" wrapText="1"/>
    </xf>
    <xf numFmtId="0" fontId="27" fillId="0" borderId="0" xfId="4" applyFont="1" applyBorder="1" applyAlignment="1">
      <alignment horizontal="left" vertical="top" wrapText="1"/>
    </xf>
    <xf numFmtId="0" fontId="28" fillId="0" borderId="0" xfId="4" applyFont="1" applyBorder="1" applyAlignment="1">
      <alignment horizontal="left" vertical="top"/>
    </xf>
    <xf numFmtId="0" fontId="3" fillId="0" borderId="0" xfId="0" applyFont="1"/>
    <xf numFmtId="0" fontId="11" fillId="0" borderId="29" xfId="0" applyNumberFormat="1" applyFont="1" applyBorder="1" applyAlignment="1">
      <alignment horizontal="left" vertical="justify" wrapText="1"/>
    </xf>
    <xf numFmtId="0" fontId="11" fillId="0" borderId="30" xfId="0" applyNumberFormat="1" applyFont="1" applyBorder="1" applyAlignment="1">
      <alignment horizontal="left" vertical="justify" wrapText="1"/>
    </xf>
    <xf numFmtId="0" fontId="11" fillId="0" borderId="31" xfId="0" applyNumberFormat="1" applyFont="1" applyBorder="1" applyAlignment="1">
      <alignment horizontal="left" vertical="justify" wrapText="1"/>
    </xf>
    <xf numFmtId="0" fontId="11" fillId="0" borderId="14" xfId="0" applyNumberFormat="1" applyFont="1" applyBorder="1" applyAlignment="1">
      <alignment horizontal="left" vertical="justify" wrapText="1"/>
    </xf>
    <xf numFmtId="0" fontId="11" fillId="0" borderId="23" xfId="0" applyNumberFormat="1" applyFont="1" applyBorder="1" applyAlignment="1">
      <alignment horizontal="left" vertical="justify" wrapText="1"/>
    </xf>
    <xf numFmtId="0" fontId="11" fillId="0" borderId="7" xfId="0" applyNumberFormat="1" applyFont="1" applyBorder="1" applyAlignment="1">
      <alignment horizontal="left" vertical="justify" wrapText="1"/>
    </xf>
    <xf numFmtId="0" fontId="11" fillId="0" borderId="29" xfId="0" applyFont="1" applyBorder="1" applyAlignment="1">
      <alignment horizontal="left" vertical="justify" wrapText="1"/>
    </xf>
    <xf numFmtId="0" fontId="11" fillId="0" borderId="30" xfId="0" applyFont="1" applyBorder="1" applyAlignment="1">
      <alignment horizontal="left" vertical="justify" wrapText="1"/>
    </xf>
    <xf numFmtId="0" fontId="11" fillId="0" borderId="31" xfId="0" applyFont="1" applyBorder="1" applyAlignment="1">
      <alignment horizontal="left" vertical="justify" wrapText="1"/>
    </xf>
    <xf numFmtId="0" fontId="11" fillId="0" borderId="27" xfId="0" applyFont="1" applyBorder="1" applyAlignment="1">
      <alignment horizontal="left" vertical="justify" wrapText="1"/>
    </xf>
    <xf numFmtId="0" fontId="11" fillId="0" borderId="0" xfId="0" applyFont="1" applyBorder="1" applyAlignment="1">
      <alignment horizontal="left" vertical="justify" wrapText="1"/>
    </xf>
    <xf numFmtId="0" fontId="11" fillId="0" borderId="32" xfId="0" applyFont="1" applyBorder="1" applyAlignment="1">
      <alignment horizontal="left" vertical="justify" wrapText="1"/>
    </xf>
    <xf numFmtId="0" fontId="11" fillId="0" borderId="14" xfId="0" applyFont="1" applyBorder="1" applyAlignment="1">
      <alignment horizontal="left" vertical="justify" wrapText="1"/>
    </xf>
    <xf numFmtId="0" fontId="11" fillId="0" borderId="23" xfId="0" applyFont="1" applyBorder="1" applyAlignment="1">
      <alignment horizontal="left" vertical="justify" wrapText="1"/>
    </xf>
    <xf numFmtId="0" fontId="11" fillId="0" borderId="7" xfId="0" applyFont="1" applyBorder="1" applyAlignment="1">
      <alignment horizontal="left" vertical="justify" wrapText="1"/>
    </xf>
    <xf numFmtId="0" fontId="11" fillId="0" borderId="33" xfId="4" applyFont="1" applyBorder="1" applyAlignment="1">
      <alignment horizontal="left" vertical="top" wrapText="1"/>
    </xf>
    <xf numFmtId="0" fontId="11" fillId="0" borderId="35" xfId="4" applyFont="1" applyBorder="1" applyAlignment="1">
      <alignment horizontal="left" vertical="top" wrapText="1"/>
    </xf>
    <xf numFmtId="0" fontId="11" fillId="0" borderId="34" xfId="4" applyFont="1" applyBorder="1" applyAlignment="1">
      <alignment horizontal="left" vertical="top"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6" fillId="0" borderId="30" xfId="4" applyFont="1" applyBorder="1" applyAlignment="1">
      <alignment horizontal="left" vertical="top"/>
    </xf>
    <xf numFmtId="0" fontId="3" fillId="2" borderId="5" xfId="4" applyFont="1" applyFill="1" applyBorder="1" applyAlignment="1">
      <alignment horizontal="center" vertical="top" wrapText="1"/>
    </xf>
    <xf numFmtId="0" fontId="3" fillId="2" borderId="3" xfId="4" applyFont="1" applyFill="1" applyBorder="1" applyAlignment="1">
      <alignment horizontal="center" vertical="top" wrapText="1"/>
    </xf>
    <xf numFmtId="0" fontId="11" fillId="0" borderId="29" xfId="4" applyNumberFormat="1" applyFont="1" applyBorder="1" applyAlignment="1">
      <alignment horizontal="left" vertical="justify"/>
    </xf>
    <xf numFmtId="0" fontId="11" fillId="0" borderId="30" xfId="4" applyNumberFormat="1" applyFont="1" applyBorder="1" applyAlignment="1">
      <alignment horizontal="left" vertical="justify"/>
    </xf>
    <xf numFmtId="0" fontId="11" fillId="0" borderId="31" xfId="4" applyNumberFormat="1" applyFont="1" applyBorder="1" applyAlignment="1">
      <alignment horizontal="left" vertical="justify"/>
    </xf>
    <xf numFmtId="0" fontId="11" fillId="0" borderId="14" xfId="4" applyNumberFormat="1" applyFont="1" applyBorder="1" applyAlignment="1">
      <alignment horizontal="left" vertical="justify"/>
    </xf>
    <xf numFmtId="0" fontId="11" fillId="0" borderId="23" xfId="4" applyNumberFormat="1" applyFont="1" applyBorder="1" applyAlignment="1">
      <alignment horizontal="left" vertical="justify"/>
    </xf>
    <xf numFmtId="0" fontId="11" fillId="0" borderId="7" xfId="4" applyNumberFormat="1" applyFont="1" applyBorder="1" applyAlignment="1">
      <alignment horizontal="left" vertical="justify"/>
    </xf>
    <xf numFmtId="0" fontId="0" fillId="0" borderId="38"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27" fillId="0" borderId="30" xfId="4" applyFont="1" applyBorder="1" applyAlignment="1">
      <alignment horizontal="left" vertical="top"/>
    </xf>
    <xf numFmtId="0" fontId="7" fillId="2" borderId="33" xfId="0" applyFont="1" applyFill="1" applyBorder="1" applyAlignment="1">
      <alignment horizontal="center"/>
    </xf>
    <xf numFmtId="0" fontId="7" fillId="2" borderId="34" xfId="0" applyFont="1" applyFill="1" applyBorder="1" applyAlignment="1">
      <alignment horizontal="center"/>
    </xf>
    <xf numFmtId="0" fontId="8" fillId="0" borderId="28" xfId="0" applyFont="1" applyBorder="1" applyAlignment="1">
      <alignment horizontal="center" vertical="center" wrapText="1"/>
    </xf>
    <xf numFmtId="0" fontId="8" fillId="0" borderId="19" xfId="0" applyFont="1" applyBorder="1" applyAlignment="1">
      <alignment horizontal="center" vertical="center" wrapText="1"/>
    </xf>
    <xf numFmtId="0" fontId="3" fillId="0" borderId="33"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33" xfId="0" applyFont="1" applyBorder="1" applyAlignment="1">
      <alignment horizontal="center"/>
    </xf>
    <xf numFmtId="0" fontId="1" fillId="0" borderId="34" xfId="0" applyFont="1" applyBorder="1"/>
    <xf numFmtId="0" fontId="2" fillId="0" borderId="5" xfId="0" applyFont="1" applyBorder="1" applyAlignment="1">
      <alignment horizontal="left" vertical="center"/>
    </xf>
    <xf numFmtId="0" fontId="2" fillId="0" borderId="42" xfId="0" applyFont="1" applyBorder="1" applyAlignment="1">
      <alignment horizontal="left" vertical="center"/>
    </xf>
    <xf numFmtId="0" fontId="2" fillId="0" borderId="37" xfId="0" applyFont="1" applyBorder="1" applyAlignment="1">
      <alignment horizontal="left" vertical="center"/>
    </xf>
    <xf numFmtId="0" fontId="2" fillId="0" borderId="3" xfId="0" applyFont="1" applyBorder="1" applyAlignment="1">
      <alignment horizontal="left" vertic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11" xfId="0" applyFont="1" applyBorder="1" applyAlignment="1">
      <alignment horizontal="center"/>
    </xf>
    <xf numFmtId="0" fontId="2" fillId="0" borderId="36" xfId="0" applyFont="1" applyBorder="1" applyAlignment="1">
      <alignment horizontal="center"/>
    </xf>
    <xf numFmtId="0" fontId="2" fillId="0" borderId="16" xfId="0" applyFont="1" applyBorder="1" applyAlignment="1">
      <alignment horizontal="center"/>
    </xf>
  </cellXfs>
  <cellStyles count="6">
    <cellStyle name="Euro" xfId="1"/>
    <cellStyle name="Millares 2" xfId="2"/>
    <cellStyle name="Moneda" xfId="5" builtinId="4"/>
    <cellStyle name="Normal" xfId="0" builtinId="0"/>
    <cellStyle name="Normal 2" xfId="3"/>
    <cellStyle name="Normal 3" xfId="4"/>
  </cellStyles>
  <dxfs count="0"/>
  <tableStyles count="0" defaultTableStyle="TableStyleMedium9" defaultPivotStyle="PivotStyleLight16"/>
  <colors>
    <mruColors>
      <color rgb="FF0000FF"/>
      <color rgb="FFD7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50"/>
  <sheetViews>
    <sheetView topLeftCell="B14" zoomScale="90" zoomScaleNormal="90" workbookViewId="0">
      <selection activeCell="F34" sqref="F34"/>
    </sheetView>
  </sheetViews>
  <sheetFormatPr baseColWidth="10" defaultRowHeight="12.75"/>
  <cols>
    <col min="1" max="1" width="13.28515625" style="24" customWidth="1"/>
    <col min="2" max="2" width="71.7109375" customWidth="1"/>
    <col min="3" max="3" width="22.42578125" bestFit="1" customWidth="1"/>
    <col min="4" max="4" width="15.42578125" bestFit="1" customWidth="1"/>
    <col min="5" max="5" width="1.140625" customWidth="1"/>
    <col min="6" max="6" width="63" customWidth="1"/>
    <col min="7" max="7" width="16.5703125" customWidth="1"/>
    <col min="8" max="8" width="15.42578125" bestFit="1" customWidth="1"/>
  </cols>
  <sheetData>
    <row r="1" spans="1:7">
      <c r="A1" s="184" t="s">
        <v>77</v>
      </c>
      <c r="B1" s="173" t="s">
        <v>103</v>
      </c>
    </row>
    <row r="2" spans="1:7">
      <c r="C2" s="2" t="s">
        <v>0</v>
      </c>
      <c r="D2" s="2" t="s">
        <v>23</v>
      </c>
    </row>
    <row r="3" spans="1:7">
      <c r="A3" s="181">
        <v>1</v>
      </c>
      <c r="B3" s="95" t="s">
        <v>58</v>
      </c>
      <c r="C3" s="5">
        <f>'DESGLOSE SALARIOS'!J3</f>
        <v>37831.83</v>
      </c>
      <c r="D3" s="5">
        <f>ROUND(C3*A3,2)</f>
        <v>37831.83</v>
      </c>
      <c r="E3" s="5"/>
      <c r="F3" s="25" t="s">
        <v>10</v>
      </c>
      <c r="G3" s="25"/>
    </row>
    <row r="4" spans="1:7">
      <c r="A4" s="181">
        <v>1</v>
      </c>
      <c r="B4" s="96" t="s">
        <v>61</v>
      </c>
      <c r="C4" s="5">
        <f>'DESGLOSE SALARIOS'!J7</f>
        <v>30145.21</v>
      </c>
      <c r="D4" s="5">
        <f t="shared" ref="D4:D11" si="0">ROUND(C4*A4,2)</f>
        <v>30145.21</v>
      </c>
      <c r="E4" s="5"/>
      <c r="F4" s="46" t="s">
        <v>1</v>
      </c>
      <c r="G4" s="47">
        <v>37154.28</v>
      </c>
    </row>
    <row r="5" spans="1:7">
      <c r="A5" s="181">
        <v>1</v>
      </c>
      <c r="B5" s="95" t="s">
        <v>85</v>
      </c>
      <c r="C5" s="5">
        <f>'DESGLOSE SALARIOS'!J6/2</f>
        <v>15072.605</v>
      </c>
      <c r="D5" s="5">
        <f t="shared" si="0"/>
        <v>15072.61</v>
      </c>
      <c r="E5" s="5"/>
      <c r="F5" s="48" t="s">
        <v>73</v>
      </c>
      <c r="G5" s="49">
        <v>9600</v>
      </c>
    </row>
    <row r="6" spans="1:7">
      <c r="A6" s="181">
        <v>2</v>
      </c>
      <c r="B6" s="96" t="s">
        <v>59</v>
      </c>
      <c r="C6" s="5">
        <f>'DESGLOSE SALARIOS'!J9</f>
        <v>30145.21</v>
      </c>
      <c r="D6" s="5">
        <f t="shared" si="0"/>
        <v>60290.42</v>
      </c>
      <c r="E6" s="5"/>
      <c r="F6" s="48" t="s">
        <v>74</v>
      </c>
      <c r="G6" s="49">
        <v>6000</v>
      </c>
    </row>
    <row r="7" spans="1:7">
      <c r="A7" s="181">
        <v>2</v>
      </c>
      <c r="B7" s="96" t="s">
        <v>60</v>
      </c>
      <c r="C7" s="5">
        <f>'DESGLOSE SALARIOS'!J9</f>
        <v>30145.21</v>
      </c>
      <c r="D7" s="5">
        <f t="shared" si="0"/>
        <v>60290.42</v>
      </c>
      <c r="E7" s="5"/>
      <c r="F7" s="48" t="s">
        <v>3</v>
      </c>
      <c r="G7" s="49">
        <v>5040</v>
      </c>
    </row>
    <row r="8" spans="1:7">
      <c r="A8" s="181">
        <v>2</v>
      </c>
      <c r="B8" s="96" t="s">
        <v>100</v>
      </c>
      <c r="C8" s="5">
        <f>'DESGLOSE SALARIOS'!J10/2</f>
        <v>17333.494999999999</v>
      </c>
      <c r="D8" s="5">
        <f>ROUND(C8*A8,2)</f>
        <v>34666.99</v>
      </c>
      <c r="E8" s="5"/>
      <c r="F8" s="48" t="s">
        <v>112</v>
      </c>
      <c r="G8" s="49">
        <v>10200</v>
      </c>
    </row>
    <row r="9" spans="1:7" ht="15.6" customHeight="1">
      <c r="A9" s="181">
        <v>2</v>
      </c>
      <c r="B9" s="96" t="s">
        <v>101</v>
      </c>
      <c r="C9" s="5">
        <f>'DESGLOSE SALARIOS'!J10/2</f>
        <v>17333.494999999999</v>
      </c>
      <c r="D9" s="5">
        <f>ROUND(C9*A9,2)</f>
        <v>34666.99</v>
      </c>
      <c r="E9" s="5"/>
      <c r="F9" s="48" t="s">
        <v>75</v>
      </c>
      <c r="G9" s="49">
        <v>12000</v>
      </c>
    </row>
    <row r="10" spans="1:7">
      <c r="A10" s="181">
        <v>2</v>
      </c>
      <c r="B10" s="96" t="s">
        <v>78</v>
      </c>
      <c r="C10" s="5">
        <f>'DESGLOSE SALARIOS'!J13</f>
        <v>27301.96</v>
      </c>
      <c r="D10" s="5">
        <f t="shared" si="0"/>
        <v>54603.92</v>
      </c>
      <c r="E10" s="5"/>
      <c r="F10" s="48" t="s">
        <v>76</v>
      </c>
      <c r="G10" s="49">
        <v>67525</v>
      </c>
    </row>
    <row r="11" spans="1:7">
      <c r="A11" s="181">
        <v>2</v>
      </c>
      <c r="B11" s="96" t="s">
        <v>86</v>
      </c>
      <c r="C11" s="5">
        <f>'DESGLOSE SALARIOS'!J14/2</f>
        <v>15289.1</v>
      </c>
      <c r="D11" s="5">
        <f t="shared" si="0"/>
        <v>30578.2</v>
      </c>
      <c r="E11" s="5"/>
      <c r="F11" s="44" t="s">
        <v>9</v>
      </c>
      <c r="G11" s="45">
        <f>SUM(G4:G10)</f>
        <v>147519.28</v>
      </c>
    </row>
    <row r="12" spans="1:7">
      <c r="A12" s="181" t="s">
        <v>118</v>
      </c>
      <c r="B12" s="97" t="s">
        <v>62</v>
      </c>
      <c r="C12" s="5">
        <f>'DESGLOSE SALARIOS'!J15</f>
        <v>21841.56</v>
      </c>
      <c r="D12" s="5">
        <f>'DESGLOSE SALARIOS'!B23</f>
        <v>4546.3599999999997</v>
      </c>
      <c r="E12" s="5"/>
    </row>
    <row r="13" spans="1:7">
      <c r="B13" s="20" t="s">
        <v>16</v>
      </c>
      <c r="C13" s="22"/>
      <c r="D13" s="23">
        <f>ROUND(SUM(D3:D12),2)</f>
        <v>362692.95</v>
      </c>
      <c r="E13" s="5"/>
    </row>
    <row r="14" spans="1:7">
      <c r="B14" s="21" t="s">
        <v>4</v>
      </c>
      <c r="C14" s="22"/>
      <c r="D14" s="22">
        <f>ROUND(D13/12,2)</f>
        <v>30224.41</v>
      </c>
      <c r="E14" s="5"/>
    </row>
    <row r="15" spans="1:7" ht="15.75">
      <c r="B15" s="28" t="s">
        <v>119</v>
      </c>
      <c r="C15" s="22"/>
      <c r="D15" s="22">
        <v>3660.45</v>
      </c>
      <c r="E15" s="5"/>
    </row>
    <row r="16" spans="1:7">
      <c r="B16" s="21" t="s">
        <v>9</v>
      </c>
      <c r="C16" s="22"/>
      <c r="D16" s="22">
        <f>ROUND(D13+D14+D15,2)</f>
        <v>396577.81</v>
      </c>
      <c r="E16" s="5"/>
    </row>
    <row r="17" spans="2:8">
      <c r="B17" s="21" t="s">
        <v>6</v>
      </c>
      <c r="C17" s="22"/>
      <c r="D17" s="22">
        <f>G11</f>
        <v>147519.28</v>
      </c>
      <c r="E17" s="5"/>
    </row>
    <row r="18" spans="2:8">
      <c r="B18" s="21" t="s">
        <v>18</v>
      </c>
      <c r="C18" s="22"/>
      <c r="D18" s="22">
        <f>ROUND(D16+D17,2)</f>
        <v>544097.09</v>
      </c>
      <c r="E18" s="5"/>
    </row>
    <row r="19" spans="2:8">
      <c r="B19" s="21" t="s">
        <v>8</v>
      </c>
      <c r="C19" s="22"/>
      <c r="D19" s="22">
        <f>ROUND(D18*6%,2)</f>
        <v>32645.83</v>
      </c>
      <c r="E19" s="5"/>
    </row>
    <row r="20" spans="2:8">
      <c r="B20" s="25" t="s">
        <v>24</v>
      </c>
      <c r="C20" s="26"/>
      <c r="D20" s="27">
        <f>ROUND(D18+D19,2)</f>
        <v>576742.92000000004</v>
      </c>
      <c r="E20" s="5"/>
      <c r="F20" s="161"/>
    </row>
    <row r="21" spans="2:8">
      <c r="B21" s="21" t="s">
        <v>22</v>
      </c>
      <c r="C21" s="22"/>
      <c r="D21" s="22">
        <f>ROUND(D20*10%,2)</f>
        <v>57674.29</v>
      </c>
      <c r="E21" s="5"/>
    </row>
    <row r="22" spans="2:8">
      <c r="B22" s="25" t="s">
        <v>25</v>
      </c>
      <c r="C22" s="26"/>
      <c r="D22" s="27">
        <f>ROUND(D20+D21,2)</f>
        <v>634417.21</v>
      </c>
      <c r="E22" s="5"/>
      <c r="F22" s="158"/>
    </row>
    <row r="23" spans="2:8">
      <c r="B23" s="120" t="s">
        <v>63</v>
      </c>
      <c r="C23" s="5"/>
      <c r="D23" s="5"/>
      <c r="E23" s="5"/>
      <c r="F23" s="158"/>
    </row>
    <row r="24" spans="2:8">
      <c r="B24" s="25" t="s">
        <v>26</v>
      </c>
      <c r="C24" s="160">
        <f>ROUND(C25+(C25*10%),4)</f>
        <v>86.906499999999994</v>
      </c>
      <c r="D24" s="6"/>
    </row>
    <row r="25" spans="2:8" ht="13.5" thickBot="1">
      <c r="B25" s="25" t="s">
        <v>27</v>
      </c>
      <c r="C25" s="160">
        <f>ROUND(D20/20/365,4)</f>
        <v>79.005899999999997</v>
      </c>
      <c r="D25" s="6"/>
    </row>
    <row r="26" spans="2:8">
      <c r="C26" s="159"/>
      <c r="D26" s="5" t="s">
        <v>13</v>
      </c>
      <c r="F26" s="8" t="s">
        <v>28</v>
      </c>
      <c r="G26" s="16"/>
      <c r="H26" s="17"/>
    </row>
    <row r="27" spans="2:8">
      <c r="C27" s="1"/>
      <c r="F27" s="9"/>
      <c r="G27" s="18" t="s">
        <v>21</v>
      </c>
      <c r="H27" s="19" t="s">
        <v>20</v>
      </c>
    </row>
    <row r="28" spans="2:8" ht="15">
      <c r="C28" s="35" t="s">
        <v>21</v>
      </c>
      <c r="D28" s="36" t="s">
        <v>20</v>
      </c>
      <c r="F28" s="37" t="s">
        <v>125</v>
      </c>
      <c r="G28" s="38">
        <f>ROUND(C25*20*334,2)</f>
        <v>527759.41</v>
      </c>
      <c r="H28" s="38">
        <f>ROUND(G28+(G28*10%),2)</f>
        <v>580535.35</v>
      </c>
    </row>
    <row r="29" spans="2:8" ht="15">
      <c r="B29" s="7" t="s">
        <v>122</v>
      </c>
      <c r="C29" s="15">
        <f>ROUND(C25*20*365,2)</f>
        <v>576743.06999999995</v>
      </c>
      <c r="D29" s="15">
        <f>ROUND(C29+(C29*10%),2)</f>
        <v>634417.38</v>
      </c>
      <c r="E29" s="39"/>
      <c r="F29" s="7" t="s">
        <v>126</v>
      </c>
      <c r="G29" s="38">
        <f>ROUND(C25*20*365,2)</f>
        <v>576743.06999999995</v>
      </c>
      <c r="H29" s="15">
        <f>ROUND(G29+(G29*10%),2)</f>
        <v>634417.38</v>
      </c>
    </row>
    <row r="30" spans="2:8" ht="15">
      <c r="B30" s="7" t="s">
        <v>123</v>
      </c>
      <c r="C30" s="15">
        <f>ROUND(C25*20*365,2)</f>
        <v>576743.06999999995</v>
      </c>
      <c r="D30" s="15">
        <f>ROUND(C30+(C30*10%),2)</f>
        <v>634417.38</v>
      </c>
      <c r="E30" s="39"/>
      <c r="F30" s="7" t="s">
        <v>140</v>
      </c>
      <c r="G30" s="38">
        <f>ROUND(C25*20*366,2)</f>
        <v>578323.18999999994</v>
      </c>
      <c r="H30" s="38">
        <f>ROUND(G30+(G30*10%),2)</f>
        <v>636155.51</v>
      </c>
    </row>
    <row r="31" spans="2:8" ht="15.75">
      <c r="B31" s="7" t="s">
        <v>124</v>
      </c>
      <c r="C31" s="15">
        <f>ROUND(C25*20*366,2)</f>
        <v>578323.18999999994</v>
      </c>
      <c r="D31" s="15">
        <f>ROUND(C31+(C31*10%),2)</f>
        <v>636155.51</v>
      </c>
      <c r="E31" s="39"/>
      <c r="F31" s="7" t="s">
        <v>127</v>
      </c>
      <c r="G31" s="38">
        <f>ROUND(C25*20*31,2)</f>
        <v>48983.66</v>
      </c>
      <c r="H31" s="190">
        <f>ROUND(G31+(G31*10%),2)</f>
        <v>53882.03</v>
      </c>
    </row>
    <row r="32" spans="2:8" ht="15">
      <c r="B32" s="34" t="s">
        <v>72</v>
      </c>
      <c r="C32" s="40">
        <f>SUM(C29:C31)</f>
        <v>1731809.3299999998</v>
      </c>
      <c r="D32" s="40">
        <f>SUM(D29:D31)</f>
        <v>1904990.27</v>
      </c>
      <c r="E32" s="39"/>
      <c r="F32" s="34" t="s">
        <v>69</v>
      </c>
      <c r="G32" s="40">
        <f>G28+G29+G30+G31</f>
        <v>1731809.3299999998</v>
      </c>
      <c r="H32" s="40">
        <f>H28+H29+H30+H31</f>
        <v>1904990.27</v>
      </c>
    </row>
    <row r="33" spans="2:8" ht="15">
      <c r="B33" s="194" t="s">
        <v>128</v>
      </c>
      <c r="C33" s="1"/>
    </row>
    <row r="34" spans="2:8">
      <c r="B34" s="193" t="s">
        <v>120</v>
      </c>
      <c r="C34" s="1"/>
      <c r="D34" s="186"/>
    </row>
    <row r="35" spans="2:8" ht="15.75" thickBot="1">
      <c r="B35" s="189"/>
      <c r="C35" s="1"/>
    </row>
    <row r="36" spans="2:8" ht="12.75" customHeight="1">
      <c r="B36" s="200" t="s">
        <v>70</v>
      </c>
      <c r="C36" s="201"/>
      <c r="D36" s="201"/>
      <c r="E36" s="201"/>
      <c r="F36" s="201"/>
      <c r="G36" s="201"/>
      <c r="H36" s="202"/>
    </row>
    <row r="37" spans="2:8" ht="14.25" customHeight="1" thickBot="1">
      <c r="B37" s="203"/>
      <c r="C37" s="204"/>
      <c r="D37" s="204"/>
      <c r="E37" s="204"/>
      <c r="F37" s="204"/>
      <c r="G37" s="204"/>
      <c r="H37" s="205"/>
    </row>
    <row r="38" spans="2:8" ht="30" customHeight="1" thickBot="1">
      <c r="B38" s="31"/>
      <c r="C38" s="31"/>
      <c r="D38" s="31"/>
      <c r="E38" s="31"/>
      <c r="F38" s="31"/>
      <c r="G38" s="31"/>
    </row>
    <row r="39" spans="2:8" ht="13.5" thickBot="1">
      <c r="B39" s="32" t="s">
        <v>71</v>
      </c>
      <c r="C39" s="29"/>
      <c r="D39" s="29"/>
      <c r="E39" s="29"/>
      <c r="F39" s="29"/>
      <c r="G39" s="29"/>
    </row>
    <row r="40" spans="2:8" ht="12.75" customHeight="1">
      <c r="B40" s="206" t="s">
        <v>121</v>
      </c>
      <c r="C40" s="207"/>
      <c r="D40" s="207"/>
      <c r="E40" s="207"/>
      <c r="F40" s="207"/>
      <c r="G40" s="207"/>
      <c r="H40" s="208"/>
    </row>
    <row r="41" spans="2:8">
      <c r="B41" s="209"/>
      <c r="C41" s="210"/>
      <c r="D41" s="210"/>
      <c r="E41" s="210"/>
      <c r="F41" s="210"/>
      <c r="G41" s="210"/>
      <c r="H41" s="211"/>
    </row>
    <row r="42" spans="2:8">
      <c r="B42" s="209"/>
      <c r="C42" s="210"/>
      <c r="D42" s="210"/>
      <c r="E42" s="210"/>
      <c r="F42" s="210"/>
      <c r="G42" s="210"/>
      <c r="H42" s="211"/>
    </row>
    <row r="43" spans="2:8" ht="15.6" customHeight="1">
      <c r="B43" s="209"/>
      <c r="C43" s="210"/>
      <c r="D43" s="210"/>
      <c r="E43" s="210"/>
      <c r="F43" s="210"/>
      <c r="G43" s="210"/>
      <c r="H43" s="211"/>
    </row>
    <row r="44" spans="2:8" ht="39.6" hidden="1" customHeight="1" thickBot="1">
      <c r="B44" s="212"/>
      <c r="C44" s="213"/>
      <c r="D44" s="213"/>
      <c r="E44" s="213"/>
      <c r="F44" s="213"/>
      <c r="G44" s="213"/>
      <c r="H44" s="214"/>
    </row>
    <row r="45" spans="2:8">
      <c r="B45" s="30"/>
      <c r="C45" s="30"/>
      <c r="D45" s="30"/>
      <c r="E45" s="30"/>
      <c r="F45" s="30"/>
      <c r="G45" s="3"/>
    </row>
    <row r="46" spans="2:8">
      <c r="F46" s="2" t="s">
        <v>29</v>
      </c>
    </row>
    <row r="50" spans="6:6">
      <c r="F50" s="10"/>
    </row>
  </sheetData>
  <mergeCells count="2">
    <mergeCell ref="B36:H37"/>
    <mergeCell ref="B40:H44"/>
  </mergeCells>
  <phoneticPr fontId="6" type="noConversion"/>
  <pageMargins left="0.22" right="0.2" top="0.75" bottom="0.35" header="0.3" footer="0.3"/>
  <pageSetup paperSize="9" orientation="landscape" horizontalDpi="300" r:id="rId1"/>
  <headerFooter>
    <oddHeader>&amp;C&amp;"Arial,Negrita"18 PLAZAS ASISTENCIALES PISO DE APOYO AL TRATAMIENTO</oddHeader>
  </headerFooter>
  <ignoredErrors>
    <ignoredError sqref="D19 D2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topLeftCell="A14" zoomScale="89" zoomScaleNormal="89" workbookViewId="0">
      <selection activeCell="D35" sqref="D35"/>
    </sheetView>
  </sheetViews>
  <sheetFormatPr baseColWidth="10" defaultColWidth="11.42578125" defaultRowHeight="12.75"/>
  <cols>
    <col min="1" max="1" width="12" style="113" customWidth="1"/>
    <col min="2" max="2" width="74" style="69" customWidth="1"/>
    <col min="3" max="3" width="19.140625" style="50" customWidth="1"/>
    <col min="4" max="4" width="14.28515625" style="50" bestFit="1" customWidth="1"/>
    <col min="5" max="5" width="2" style="50" customWidth="1"/>
    <col min="6" max="6" width="44.42578125" style="50" customWidth="1"/>
    <col min="7" max="7" width="16.85546875" style="50" customWidth="1"/>
    <col min="8" max="8" width="17" style="52" customWidth="1"/>
    <col min="9" max="9" width="30.7109375" style="50" customWidth="1"/>
    <col min="10" max="10" width="11.7109375" style="50" bestFit="1" customWidth="1"/>
    <col min="11" max="16384" width="11.42578125" style="50"/>
  </cols>
  <sheetData>
    <row r="1" spans="1:13" ht="19.5" customHeight="1">
      <c r="A1" s="183" t="s">
        <v>77</v>
      </c>
      <c r="B1" s="174" t="s">
        <v>104</v>
      </c>
      <c r="C1" s="125"/>
      <c r="F1" s="51" t="s">
        <v>14</v>
      </c>
    </row>
    <row r="2" spans="1:13" s="69" customFormat="1" ht="15" customHeight="1">
      <c r="A2" s="113"/>
      <c r="C2" s="127" t="s">
        <v>0</v>
      </c>
      <c r="D2" s="127" t="s">
        <v>11</v>
      </c>
      <c r="F2" s="119" t="s">
        <v>10</v>
      </c>
      <c r="G2" s="130"/>
      <c r="H2" s="131" t="s">
        <v>12</v>
      </c>
    </row>
    <row r="3" spans="1:13" s="69" customFormat="1" ht="13.5" customHeight="1">
      <c r="A3" s="182">
        <v>1</v>
      </c>
      <c r="B3" s="115" t="s">
        <v>97</v>
      </c>
      <c r="C3" s="156">
        <f>'DESGLOSE SALARIOS'!J3</f>
        <v>37831.83</v>
      </c>
      <c r="D3" s="128">
        <f>ROUND(A3*C3,2)</f>
        <v>37831.83</v>
      </c>
      <c r="F3" s="130" t="s">
        <v>1</v>
      </c>
      <c r="G3" s="132"/>
      <c r="H3" s="132">
        <v>17403.12</v>
      </c>
      <c r="J3" s="129"/>
    </row>
    <row r="4" spans="1:13" s="69" customFormat="1" ht="13.5" customHeight="1">
      <c r="A4" s="182">
        <v>1</v>
      </c>
      <c r="B4" s="116" t="s">
        <v>59</v>
      </c>
      <c r="C4" s="129">
        <f>'DESGLOSE SALARIOS'!J9</f>
        <v>30145.21</v>
      </c>
      <c r="D4" s="128">
        <f t="shared" ref="D4:D11" si="0">ROUND(A4*C4,2)</f>
        <v>30145.21</v>
      </c>
      <c r="F4" s="130" t="s">
        <v>2</v>
      </c>
      <c r="G4" s="132"/>
      <c r="H4" s="132">
        <v>4800</v>
      </c>
      <c r="J4" s="129"/>
    </row>
    <row r="5" spans="1:13" s="69" customFormat="1" ht="13.5" customHeight="1">
      <c r="A5" s="182">
        <v>1</v>
      </c>
      <c r="B5" s="116" t="s">
        <v>60</v>
      </c>
      <c r="C5" s="129">
        <f>'DESGLOSE SALARIOS'!J9</f>
        <v>30145.21</v>
      </c>
      <c r="D5" s="128">
        <f>ROUND(A5*C5,2)</f>
        <v>30145.21</v>
      </c>
      <c r="F5" s="130" t="s">
        <v>3</v>
      </c>
      <c r="G5" s="132"/>
      <c r="H5" s="132">
        <v>2400</v>
      </c>
      <c r="J5" s="129"/>
    </row>
    <row r="6" spans="1:13" s="69" customFormat="1" ht="13.5" customHeight="1">
      <c r="A6" s="182">
        <v>1</v>
      </c>
      <c r="B6" s="115" t="s">
        <v>90</v>
      </c>
      <c r="C6" s="129">
        <f>'DESGLOSE SALARIOS'!J17/2</f>
        <v>12457.575000000001</v>
      </c>
      <c r="D6" s="128">
        <f t="shared" si="0"/>
        <v>12457.58</v>
      </c>
      <c r="F6" s="130" t="s">
        <v>5</v>
      </c>
      <c r="G6" s="132"/>
      <c r="H6" s="132">
        <v>4080</v>
      </c>
      <c r="J6" s="129"/>
    </row>
    <row r="7" spans="1:13" s="69" customFormat="1" ht="13.5" customHeight="1">
      <c r="A7" s="182">
        <v>1</v>
      </c>
      <c r="B7" s="115" t="s">
        <v>79</v>
      </c>
      <c r="C7" s="129">
        <f>'DESGLOSE SALARIOS'!J13</f>
        <v>27301.96</v>
      </c>
      <c r="D7" s="128">
        <f t="shared" si="0"/>
        <v>27301.96</v>
      </c>
      <c r="F7" s="130" t="s">
        <v>7</v>
      </c>
      <c r="G7" s="132"/>
      <c r="H7" s="132">
        <v>4320</v>
      </c>
      <c r="J7" s="129"/>
    </row>
    <row r="8" spans="1:13" s="69" customFormat="1" ht="13.5" customHeight="1">
      <c r="A8" s="182">
        <v>1</v>
      </c>
      <c r="B8" s="115" t="s">
        <v>91</v>
      </c>
      <c r="C8" s="129">
        <f>'DESGLOSE SALARIOS'!J10/2</f>
        <v>17333.494999999999</v>
      </c>
      <c r="D8" s="128">
        <f t="shared" si="0"/>
        <v>17333.5</v>
      </c>
      <c r="F8" s="130" t="s">
        <v>42</v>
      </c>
      <c r="G8" s="132"/>
      <c r="H8" s="132">
        <f>9.25*10*365</f>
        <v>33762.5</v>
      </c>
      <c r="I8" s="129"/>
      <c r="J8" s="129"/>
    </row>
    <row r="9" spans="1:13" s="69" customFormat="1" ht="13.5" customHeight="1">
      <c r="A9" s="182">
        <v>1</v>
      </c>
      <c r="B9" s="115" t="s">
        <v>92</v>
      </c>
      <c r="C9" s="129">
        <f>'DESGLOSE SALARIOS'!J10/2</f>
        <v>17333.494999999999</v>
      </c>
      <c r="D9" s="128">
        <f t="shared" si="0"/>
        <v>17333.5</v>
      </c>
      <c r="F9" s="133" t="s">
        <v>74</v>
      </c>
      <c r="G9" s="132"/>
      <c r="H9" s="134">
        <v>3000</v>
      </c>
      <c r="I9" s="129"/>
      <c r="J9" s="129"/>
      <c r="L9" s="129"/>
      <c r="M9" s="129"/>
    </row>
    <row r="10" spans="1:13" s="69" customFormat="1" ht="13.5" customHeight="1">
      <c r="A10" s="182">
        <v>1</v>
      </c>
      <c r="B10" s="115" t="s">
        <v>93</v>
      </c>
      <c r="C10" s="129">
        <f>'DESGLOSE SALARIOS'!J16/4</f>
        <v>7163.1049999999996</v>
      </c>
      <c r="D10" s="128">
        <f t="shared" si="0"/>
        <v>7163.11</v>
      </c>
      <c r="F10" s="119" t="s">
        <v>9</v>
      </c>
      <c r="G10" s="132"/>
      <c r="H10" s="135">
        <f>SUM(H3:H9)</f>
        <v>69765.62</v>
      </c>
      <c r="I10" s="129"/>
      <c r="J10" s="129"/>
      <c r="L10" s="129"/>
      <c r="M10" s="129"/>
    </row>
    <row r="11" spans="1:13" s="69" customFormat="1" ht="13.5" customHeight="1">
      <c r="A11" s="182">
        <v>1</v>
      </c>
      <c r="B11" s="115" t="s">
        <v>96</v>
      </c>
      <c r="C11" s="129">
        <f>'DESGLOSE SALARIOS'!J14/2</f>
        <v>15289.1</v>
      </c>
      <c r="D11" s="128">
        <f t="shared" si="0"/>
        <v>15289.1</v>
      </c>
      <c r="I11" s="129"/>
      <c r="J11" s="129"/>
      <c r="L11" s="129"/>
      <c r="M11" s="129"/>
    </row>
    <row r="12" spans="1:13" ht="13.5" customHeight="1">
      <c r="A12" s="182"/>
      <c r="B12" s="117" t="s">
        <v>16</v>
      </c>
      <c r="C12" s="63"/>
      <c r="D12" s="64">
        <f>ROUND(SUM(D3:D11),2)</f>
        <v>195001</v>
      </c>
      <c r="H12" s="50"/>
      <c r="I12" s="54"/>
      <c r="J12" s="54"/>
      <c r="L12" s="54"/>
      <c r="M12" s="54"/>
    </row>
    <row r="13" spans="1:13" ht="14.25" customHeight="1">
      <c r="A13" s="182"/>
      <c r="B13" s="69" t="s">
        <v>4</v>
      </c>
      <c r="C13" s="63"/>
      <c r="D13" s="55">
        <f>ROUND(D12/12,2)</f>
        <v>16250.08</v>
      </c>
      <c r="I13" s="54"/>
      <c r="J13" s="54"/>
      <c r="L13" s="54"/>
      <c r="M13" s="54"/>
    </row>
    <row r="14" spans="1:13">
      <c r="A14" s="114"/>
      <c r="B14" s="118" t="s">
        <v>68</v>
      </c>
      <c r="C14" s="63"/>
      <c r="D14" s="55">
        <v>2274.5100000000002</v>
      </c>
      <c r="I14" s="54"/>
      <c r="J14" s="54"/>
      <c r="L14" s="54"/>
      <c r="M14" s="54"/>
    </row>
    <row r="15" spans="1:13">
      <c r="A15" s="114"/>
      <c r="B15" s="117" t="s">
        <v>17</v>
      </c>
      <c r="C15" s="63"/>
      <c r="D15" s="55">
        <f>ROUND(D12+D13+D14,2)</f>
        <v>213525.59</v>
      </c>
      <c r="I15" s="54"/>
      <c r="J15" s="54"/>
      <c r="L15" s="54"/>
      <c r="M15" s="54"/>
    </row>
    <row r="16" spans="1:13">
      <c r="A16" s="114"/>
      <c r="B16" s="69" t="s">
        <v>6</v>
      </c>
      <c r="C16" s="63"/>
      <c r="D16" s="55">
        <f>H10</f>
        <v>69765.62</v>
      </c>
      <c r="I16" s="54"/>
      <c r="J16" s="54"/>
      <c r="M16" s="54"/>
    </row>
    <row r="17" spans="1:9">
      <c r="A17" s="114"/>
      <c r="B17" s="117" t="s">
        <v>18</v>
      </c>
      <c r="C17" s="63"/>
      <c r="D17" s="55">
        <f>D15+D16</f>
        <v>283291.20999999996</v>
      </c>
    </row>
    <row r="18" spans="1:9">
      <c r="A18" s="114"/>
      <c r="B18" s="69" t="s">
        <v>8</v>
      </c>
      <c r="C18" s="63"/>
      <c r="D18" s="55">
        <f>ROUND(D17*6%,2)</f>
        <v>16997.47</v>
      </c>
      <c r="F18" s="157"/>
    </row>
    <row r="19" spans="1:9">
      <c r="A19" s="114"/>
      <c r="B19" s="119" t="s">
        <v>24</v>
      </c>
      <c r="C19" s="59"/>
      <c r="D19" s="60">
        <f>SUM(D17:D18)</f>
        <v>300288.67999999993</v>
      </c>
      <c r="F19" s="157"/>
    </row>
    <row r="20" spans="1:9">
      <c r="A20" s="114"/>
      <c r="B20" s="69" t="s">
        <v>22</v>
      </c>
      <c r="C20" s="63"/>
      <c r="D20" s="62">
        <f>ROUND(D19*10%,2)</f>
        <v>30028.87</v>
      </c>
      <c r="F20" s="157"/>
    </row>
    <row r="21" spans="1:9">
      <c r="A21" s="114"/>
      <c r="B21" s="119" t="s">
        <v>25</v>
      </c>
      <c r="C21" s="59"/>
      <c r="D21" s="66">
        <f>SUM(D19:D20)</f>
        <v>330317.54999999993</v>
      </c>
      <c r="G21" s="50" t="s">
        <v>13</v>
      </c>
    </row>
    <row r="22" spans="1:9">
      <c r="A22" s="114"/>
      <c r="B22" s="120" t="s">
        <v>63</v>
      </c>
      <c r="D22" s="68"/>
    </row>
    <row r="23" spans="1:9">
      <c r="A23" s="114"/>
      <c r="B23" s="120"/>
      <c r="D23" s="68"/>
    </row>
    <row r="24" spans="1:9" ht="13.5" thickBot="1">
      <c r="A24" s="114"/>
      <c r="B24" s="120"/>
      <c r="D24" s="68"/>
    </row>
    <row r="25" spans="1:9" ht="12.75" customHeight="1" thickBot="1">
      <c r="B25" s="120"/>
      <c r="D25" s="68"/>
      <c r="E25" s="69"/>
      <c r="F25" s="218" t="s">
        <v>28</v>
      </c>
      <c r="G25" s="219"/>
      <c r="H25" s="220"/>
      <c r="I25" s="54"/>
    </row>
    <row r="26" spans="1:9" ht="25.5">
      <c r="B26" s="126" t="s">
        <v>80</v>
      </c>
      <c r="C26" s="70" t="s">
        <v>21</v>
      </c>
      <c r="D26" s="71" t="s">
        <v>20</v>
      </c>
      <c r="F26" s="149"/>
      <c r="G26" s="150" t="s">
        <v>21</v>
      </c>
      <c r="H26" s="151" t="s">
        <v>20</v>
      </c>
    </row>
    <row r="27" spans="1:9" ht="15" customHeight="1">
      <c r="B27" s="195" t="s">
        <v>133</v>
      </c>
      <c r="C27" s="162">
        <f>ROUND(D19/365/10,4)</f>
        <v>82.270899999999997</v>
      </c>
      <c r="D27" s="163">
        <f>ROUND(C27+(C27*10%),4)</f>
        <v>90.498000000000005</v>
      </c>
      <c r="F27" s="37" t="s">
        <v>125</v>
      </c>
      <c r="G27" s="38">
        <f>ROUND(C27*334*10,2)</f>
        <v>274784.81</v>
      </c>
      <c r="H27" s="148">
        <f>ROUND(G27+(G27*10%),2)</f>
        <v>302263.28999999998</v>
      </c>
    </row>
    <row r="28" spans="1:9" ht="12.75" customHeight="1">
      <c r="B28" s="102" t="s">
        <v>122</v>
      </c>
      <c r="C28" s="73">
        <f>ROUND(C27*365*10,2)</f>
        <v>300288.78999999998</v>
      </c>
      <c r="D28" s="136">
        <f>ROUND(C28+(C28*10%),2)</f>
        <v>330317.67</v>
      </c>
      <c r="E28" s="72"/>
      <c r="F28" s="102" t="s">
        <v>126</v>
      </c>
      <c r="G28" s="38">
        <f>ROUND(C27*365*10,2)</f>
        <v>300288.78999999998</v>
      </c>
      <c r="H28" s="148">
        <f t="shared" ref="H28:H30" si="1">ROUND(G28+(G28*10%),2)</f>
        <v>330317.67</v>
      </c>
    </row>
    <row r="29" spans="1:9" ht="12.75" customHeight="1">
      <c r="B29" s="102" t="s">
        <v>123</v>
      </c>
      <c r="C29" s="73">
        <f>ROUND(C27*365*10,2)</f>
        <v>300288.78999999998</v>
      </c>
      <c r="D29" s="82">
        <f>ROUND(C29+(C29*10%),2)</f>
        <v>330317.67</v>
      </c>
      <c r="E29" s="72"/>
      <c r="F29" s="102" t="s">
        <v>140</v>
      </c>
      <c r="G29" s="38">
        <f>ROUND(C27*10*366,2)</f>
        <v>301111.49</v>
      </c>
      <c r="H29" s="148">
        <f t="shared" si="1"/>
        <v>331222.64</v>
      </c>
    </row>
    <row r="30" spans="1:9" ht="12.75" customHeight="1">
      <c r="B30" s="102" t="s">
        <v>130</v>
      </c>
      <c r="C30" s="73">
        <f>ROUND(C27*366*10,2)</f>
        <v>301111.49</v>
      </c>
      <c r="D30" s="82">
        <f>ROUND(C30+(C30*10%),2)</f>
        <v>331222.64</v>
      </c>
      <c r="E30" s="72"/>
      <c r="F30" s="102" t="s">
        <v>127</v>
      </c>
      <c r="G30" s="38">
        <f>ROUND(C27*10*31,2)</f>
        <v>25503.98</v>
      </c>
      <c r="H30" s="148">
        <f t="shared" si="1"/>
        <v>28054.38</v>
      </c>
    </row>
    <row r="31" spans="1:9" ht="13.5" customHeight="1" thickBot="1">
      <c r="B31" s="121" t="s">
        <v>72</v>
      </c>
      <c r="C31" s="74">
        <f>SUM(C28:C30)</f>
        <v>901689.07</v>
      </c>
      <c r="D31" s="75">
        <f>SUM(D28:D30)</f>
        <v>991857.98</v>
      </c>
      <c r="E31" s="72"/>
      <c r="F31" s="103" t="s">
        <v>69</v>
      </c>
      <c r="G31" s="104">
        <f>SUM(G27:G30)</f>
        <v>901689.07</v>
      </c>
      <c r="H31" s="105">
        <f>SUM(H27:H30)</f>
        <v>991857.98</v>
      </c>
    </row>
    <row r="32" spans="1:9" ht="15.75" thickBot="1">
      <c r="B32" s="221" t="s">
        <v>132</v>
      </c>
      <c r="C32" s="221"/>
      <c r="D32" s="221"/>
      <c r="E32" s="84"/>
      <c r="F32" s="142"/>
      <c r="G32" s="143"/>
      <c r="H32" s="143"/>
    </row>
    <row r="33" spans="2:9" ht="15">
      <c r="B33" s="221" t="s">
        <v>131</v>
      </c>
      <c r="C33" s="221"/>
      <c r="D33" s="221"/>
      <c r="E33" s="84"/>
      <c r="F33" s="142"/>
      <c r="G33" s="143"/>
      <c r="H33" s="143"/>
    </row>
    <row r="34" spans="2:9" ht="15">
      <c r="B34" s="192" t="s">
        <v>120</v>
      </c>
      <c r="C34" s="191"/>
      <c r="D34" s="191"/>
      <c r="E34" s="84"/>
      <c r="F34" s="142"/>
      <c r="G34" s="143"/>
      <c r="H34" s="143"/>
    </row>
    <row r="35" spans="2:9" ht="15">
      <c r="B35" s="191"/>
      <c r="C35" s="191"/>
      <c r="D35" s="191"/>
      <c r="E35" s="84"/>
      <c r="F35" s="142"/>
      <c r="G35" s="143"/>
      <c r="H35" s="143"/>
    </row>
    <row r="36" spans="2:9" ht="12.75" customHeight="1" thickBot="1">
      <c r="B36" s="140"/>
      <c r="C36" s="141"/>
      <c r="D36" s="141"/>
      <c r="E36" s="83"/>
    </row>
    <row r="37" spans="2:9" ht="11.25" customHeight="1">
      <c r="B37" s="200" t="s">
        <v>70</v>
      </c>
      <c r="C37" s="201"/>
      <c r="D37" s="201"/>
      <c r="E37" s="201"/>
      <c r="F37" s="201"/>
      <c r="G37" s="201"/>
      <c r="H37" s="202"/>
    </row>
    <row r="38" spans="2:9" ht="21" customHeight="1" thickBot="1">
      <c r="B38" s="203"/>
      <c r="C38" s="204"/>
      <c r="D38" s="204"/>
      <c r="E38" s="204"/>
      <c r="F38" s="204"/>
      <c r="G38" s="204"/>
      <c r="H38" s="205"/>
    </row>
    <row r="39" spans="2:9" ht="13.5" thickBot="1">
      <c r="B39" s="122"/>
      <c r="C39" s="76"/>
      <c r="D39" s="76"/>
      <c r="E39" s="77"/>
      <c r="F39" s="76"/>
      <c r="G39" s="76"/>
      <c r="H39" s="50"/>
    </row>
    <row r="40" spans="2:9" ht="12.75" customHeight="1" thickBot="1">
      <c r="B40" s="123" t="s">
        <v>71</v>
      </c>
      <c r="C40" s="78"/>
      <c r="D40" s="78"/>
      <c r="E40" s="112"/>
      <c r="F40" s="78"/>
      <c r="G40" s="78"/>
      <c r="H40" s="50"/>
    </row>
    <row r="41" spans="2:9" ht="70.150000000000006" customHeight="1" thickBot="1">
      <c r="B41" s="215" t="s">
        <v>129</v>
      </c>
      <c r="C41" s="216"/>
      <c r="D41" s="216"/>
      <c r="E41" s="216"/>
      <c r="F41" s="216"/>
      <c r="G41" s="216"/>
      <c r="H41" s="217"/>
      <c r="I41" s="52"/>
    </row>
    <row r="42" spans="2:9" ht="12.75" customHeight="1">
      <c r="B42" s="124"/>
      <c r="C42" s="79"/>
      <c r="D42" s="79"/>
      <c r="E42" s="80"/>
      <c r="F42" s="79"/>
      <c r="H42" s="50"/>
    </row>
    <row r="43" spans="2:9">
      <c r="F43" s="53" t="s">
        <v>98</v>
      </c>
      <c r="H43" s="50"/>
    </row>
    <row r="44" spans="2:9">
      <c r="H44" s="50"/>
    </row>
    <row r="45" spans="2:9">
      <c r="H45" s="50"/>
    </row>
    <row r="46" spans="2:9">
      <c r="H46" s="50"/>
    </row>
    <row r="47" spans="2:9">
      <c r="F47" s="81"/>
      <c r="H47" s="50"/>
    </row>
    <row r="48" spans="2:9">
      <c r="H48" s="50"/>
    </row>
    <row r="49" spans="8:8">
      <c r="H49" s="50"/>
    </row>
  </sheetData>
  <mergeCells count="5">
    <mergeCell ref="B41:H41"/>
    <mergeCell ref="B37:H38"/>
    <mergeCell ref="F25:H25"/>
    <mergeCell ref="B32:D32"/>
    <mergeCell ref="B33:D33"/>
  </mergeCells>
  <printOptions horizontalCentered="1" verticalCentered="1"/>
  <pageMargins left="0.43" right="0.2" top="0.6" bottom="0.19" header="0.2" footer="0"/>
  <pageSetup paperSize="9" scale="61" orientation="landscape" r:id="rId1"/>
  <headerFooter alignWithMargins="0">
    <oddHeader>&amp;C&amp;16VALORACIÓN ECONÓMICA DEL CONCIERTO DE 8 PLAZAS RESIDENCIALES EN PISOS DE APOYO A LA REINSERCIÓN Y 4 PLAZAS DE AUTOGESTIÓN</oddHeader>
  </headerFooter>
  <ignoredErrors>
    <ignoredError sqref="D20"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workbookViewId="0">
      <selection activeCell="F26" sqref="F26"/>
    </sheetView>
  </sheetViews>
  <sheetFormatPr baseColWidth="10" defaultColWidth="11.42578125" defaultRowHeight="12.75"/>
  <cols>
    <col min="1" max="1" width="11" style="50" customWidth="1"/>
    <col min="2" max="2" width="42.42578125" style="50" customWidth="1"/>
    <col min="3" max="3" width="15" style="50" customWidth="1"/>
    <col min="4" max="4" width="13.28515625" style="50" customWidth="1"/>
    <col min="5" max="5" width="4" style="50" customWidth="1"/>
    <col min="6" max="6" width="40.42578125" style="50" bestFit="1" customWidth="1"/>
    <col min="7" max="7" width="13.7109375" style="50" customWidth="1"/>
    <col min="8" max="8" width="13" style="50" customWidth="1"/>
    <col min="9" max="9" width="8.85546875" style="50" customWidth="1"/>
    <col min="10" max="10" width="11.7109375" style="50" bestFit="1" customWidth="1"/>
    <col min="11" max="16384" width="11.42578125" style="50"/>
  </cols>
  <sheetData>
    <row r="1" spans="1:13">
      <c r="A1" s="175" t="s">
        <v>113</v>
      </c>
      <c r="B1" s="175" t="s">
        <v>105</v>
      </c>
      <c r="C1" s="69"/>
      <c r="D1" s="69"/>
    </row>
    <row r="2" spans="1:13">
      <c r="A2" s="69"/>
      <c r="B2" s="69"/>
      <c r="C2" s="117" t="s">
        <v>0</v>
      </c>
      <c r="D2" s="117" t="s">
        <v>11</v>
      </c>
      <c r="F2" s="56" t="s">
        <v>10</v>
      </c>
      <c r="G2" s="57"/>
      <c r="H2" s="85"/>
    </row>
    <row r="3" spans="1:13" ht="12" customHeight="1">
      <c r="A3" s="182">
        <v>1</v>
      </c>
      <c r="B3" s="115" t="s">
        <v>94</v>
      </c>
      <c r="C3" s="129">
        <f>'DESGLOSE SALARIOS'!J9/2</f>
        <v>15072.605</v>
      </c>
      <c r="D3" s="129">
        <f>ROUND(C3*A3,2)</f>
        <v>15072.61</v>
      </c>
      <c r="F3" s="57" t="s">
        <v>1</v>
      </c>
      <c r="G3" s="58">
        <v>9668.4</v>
      </c>
      <c r="I3" s="54"/>
      <c r="J3" s="54"/>
      <c r="L3" s="54"/>
      <c r="M3" s="54"/>
    </row>
    <row r="4" spans="1:13" ht="12" customHeight="1">
      <c r="A4" s="127">
        <v>1</v>
      </c>
      <c r="B4" s="115" t="s">
        <v>95</v>
      </c>
      <c r="C4" s="129">
        <f>'DESGLOSE SALARIOS'!J4/2</f>
        <v>16535.924999999999</v>
      </c>
      <c r="D4" s="129">
        <f>ROUND(C4*A4,2)</f>
        <v>16535.93</v>
      </c>
      <c r="F4" s="57" t="s">
        <v>2</v>
      </c>
      <c r="G4" s="58">
        <v>1920</v>
      </c>
      <c r="I4" s="54"/>
      <c r="J4" s="54"/>
      <c r="L4" s="54"/>
      <c r="M4" s="54"/>
    </row>
    <row r="5" spans="1:13">
      <c r="A5" s="69"/>
      <c r="B5" s="117" t="s">
        <v>16</v>
      </c>
      <c r="C5" s="69"/>
      <c r="D5" s="129">
        <f>SUM(D3:D4)</f>
        <v>31608.54</v>
      </c>
      <c r="F5" s="57" t="s">
        <v>74</v>
      </c>
      <c r="G5" s="58">
        <v>1200</v>
      </c>
      <c r="I5" s="54"/>
      <c r="J5" s="54"/>
      <c r="L5" s="54"/>
      <c r="M5" s="54"/>
    </row>
    <row r="6" spans="1:13">
      <c r="A6" s="69"/>
      <c r="B6" s="69" t="s">
        <v>4</v>
      </c>
      <c r="C6" s="69"/>
      <c r="D6" s="129">
        <f>ROUND(D5/12,2)</f>
        <v>2634.05</v>
      </c>
      <c r="F6" s="57" t="s">
        <v>3</v>
      </c>
      <c r="G6" s="58">
        <v>2400</v>
      </c>
      <c r="I6" s="54"/>
      <c r="J6" s="54"/>
      <c r="M6" s="54"/>
    </row>
    <row r="7" spans="1:13">
      <c r="A7" s="69"/>
      <c r="B7" s="139" t="s">
        <v>68</v>
      </c>
      <c r="C7" s="69"/>
      <c r="D7" s="129">
        <v>0</v>
      </c>
      <c r="F7" s="57" t="s">
        <v>5</v>
      </c>
      <c r="G7" s="86">
        <v>2040</v>
      </c>
      <c r="I7" s="54"/>
      <c r="J7" s="54"/>
      <c r="M7" s="54"/>
    </row>
    <row r="8" spans="1:13">
      <c r="A8" s="69"/>
      <c r="B8" s="117" t="s">
        <v>17</v>
      </c>
      <c r="C8" s="69"/>
      <c r="D8" s="129">
        <f>ROUND(SUM(D5:D7),2)</f>
        <v>34242.589999999997</v>
      </c>
      <c r="F8" s="56" t="s">
        <v>15</v>
      </c>
      <c r="G8" s="61">
        <f>SUM(G3:G7)</f>
        <v>17228.400000000001</v>
      </c>
      <c r="J8" s="54"/>
    </row>
    <row r="9" spans="1:13">
      <c r="A9" s="69"/>
      <c r="B9" s="69" t="s">
        <v>6</v>
      </c>
      <c r="C9" s="69"/>
      <c r="D9" s="129">
        <f>G8</f>
        <v>17228.400000000001</v>
      </c>
    </row>
    <row r="10" spans="1:13">
      <c r="A10" s="69"/>
      <c r="B10" s="117" t="s">
        <v>18</v>
      </c>
      <c r="C10" s="69"/>
      <c r="D10" s="129">
        <f>ROUND(D8+D9,2)</f>
        <v>51470.99</v>
      </c>
    </row>
    <row r="11" spans="1:13">
      <c r="A11" s="63"/>
      <c r="B11" s="63" t="s">
        <v>8</v>
      </c>
      <c r="C11" s="63"/>
      <c r="D11" s="55">
        <f>ROUND(D10*6%,2)</f>
        <v>3088.26</v>
      </c>
      <c r="F11" s="157"/>
    </row>
    <row r="12" spans="1:13">
      <c r="A12" s="63"/>
      <c r="B12" s="65" t="s">
        <v>24</v>
      </c>
      <c r="C12" s="59"/>
      <c r="D12" s="60">
        <f>ROUND(D10+D11,2)</f>
        <v>54559.25</v>
      </c>
    </row>
    <row r="13" spans="1:13">
      <c r="A13" s="63"/>
      <c r="B13" s="63" t="s">
        <v>19</v>
      </c>
      <c r="C13" s="63"/>
      <c r="D13" s="55">
        <f>ROUND(D12*10%,2)</f>
        <v>5455.93</v>
      </c>
    </row>
    <row r="14" spans="1:13">
      <c r="A14" s="63"/>
      <c r="B14" s="65" t="s">
        <v>25</v>
      </c>
      <c r="C14" s="59"/>
      <c r="D14" s="66">
        <f>ROUND(SUM(D12:D13),2)</f>
        <v>60015.18</v>
      </c>
    </row>
    <row r="15" spans="1:13">
      <c r="B15" s="67" t="s">
        <v>134</v>
      </c>
      <c r="E15" s="68"/>
    </row>
    <row r="16" spans="1:13" ht="13.5" thickBot="1">
      <c r="D16" s="87"/>
    </row>
    <row r="17" spans="2:8" ht="12.75" customHeight="1">
      <c r="B17" s="222" t="s">
        <v>30</v>
      </c>
      <c r="C17" s="70" t="s">
        <v>21</v>
      </c>
      <c r="D17" s="71" t="s">
        <v>20</v>
      </c>
      <c r="E17" s="88"/>
      <c r="F17" s="230" t="s">
        <v>28</v>
      </c>
      <c r="G17" s="231"/>
      <c r="H17" s="232"/>
    </row>
    <row r="18" spans="2:8" ht="13.5" thickBot="1">
      <c r="B18" s="223"/>
      <c r="C18" s="164">
        <f>ROUND(sin/365/4,4)</f>
        <v>37.369300000000003</v>
      </c>
      <c r="D18" s="165">
        <f>ROUND(con/365/4,4)</f>
        <v>41.106299999999997</v>
      </c>
      <c r="E18" s="88"/>
      <c r="F18" s="9"/>
      <c r="G18" s="18" t="s">
        <v>21</v>
      </c>
      <c r="H18" s="19" t="s">
        <v>20</v>
      </c>
    </row>
    <row r="19" spans="2:8" ht="15.75" thickBot="1">
      <c r="B19" s="137"/>
      <c r="C19" s="138"/>
      <c r="D19" s="138"/>
      <c r="E19" s="88"/>
      <c r="F19" s="37" t="s">
        <v>125</v>
      </c>
      <c r="G19" s="38">
        <f>ROUND(C18*4*334,2)</f>
        <v>49925.38</v>
      </c>
      <c r="H19" s="148">
        <f>ROUND(G19+(G19*10%),2)</f>
        <v>54917.919999999998</v>
      </c>
    </row>
    <row r="20" spans="2:8" ht="15">
      <c r="B20" s="144" t="s">
        <v>122</v>
      </c>
      <c r="C20" s="145">
        <f>ROUND(C18*365*4,2)</f>
        <v>54559.18</v>
      </c>
      <c r="D20" s="146">
        <f>ROUND(C20+(C20*10%),2)</f>
        <v>60015.1</v>
      </c>
      <c r="E20" s="88"/>
      <c r="F20" s="102" t="s">
        <v>126</v>
      </c>
      <c r="G20" s="38">
        <f>ROUND(C18*4*365,2)</f>
        <v>54559.18</v>
      </c>
      <c r="H20" s="148">
        <f t="shared" ref="H20:H22" si="0">ROUND(G20+(G20*10%),2)</f>
        <v>60015.1</v>
      </c>
    </row>
    <row r="21" spans="2:8" ht="15">
      <c r="B21" s="102" t="s">
        <v>123</v>
      </c>
      <c r="C21" s="89">
        <f>ROUND(C18*365*4,2)</f>
        <v>54559.18</v>
      </c>
      <c r="D21" s="147">
        <f>ROUND(C21+(C21*10%),2)</f>
        <v>60015.1</v>
      </c>
      <c r="E21" s="88"/>
      <c r="F21" s="102" t="s">
        <v>140</v>
      </c>
      <c r="G21" s="38">
        <f>ROUND(C18*4*366,2)</f>
        <v>54708.66</v>
      </c>
      <c r="H21" s="148">
        <f t="shared" si="0"/>
        <v>60179.53</v>
      </c>
    </row>
    <row r="22" spans="2:8" ht="15">
      <c r="B22" s="102" t="s">
        <v>137</v>
      </c>
      <c r="C22" s="89">
        <f>ROUND(C18*366*4,2)</f>
        <v>54708.66</v>
      </c>
      <c r="D22" s="147">
        <f>ROUND(C22+(C22*10%),2)</f>
        <v>60179.53</v>
      </c>
      <c r="E22" s="51"/>
      <c r="F22" s="102" t="s">
        <v>127</v>
      </c>
      <c r="G22" s="38">
        <f>ROUND(C18*4*31,2)+0.01</f>
        <v>4633.8</v>
      </c>
      <c r="H22" s="148">
        <f t="shared" si="0"/>
        <v>5097.18</v>
      </c>
    </row>
    <row r="23" spans="2:8" ht="15.75" thickBot="1">
      <c r="B23" s="92" t="s">
        <v>72</v>
      </c>
      <c r="C23" s="93">
        <f>SUM(C20:C22)</f>
        <v>163827.02000000002</v>
      </c>
      <c r="D23" s="94">
        <f>SUM(D20:D22)</f>
        <v>180209.72999999998</v>
      </c>
      <c r="F23" s="103" t="s">
        <v>69</v>
      </c>
      <c r="G23" s="104">
        <f>SUM(G19:G22)</f>
        <v>163827.01999999999</v>
      </c>
      <c r="H23" s="105">
        <f>SUM(H19:H22)</f>
        <v>180209.72999999998</v>
      </c>
    </row>
    <row r="24" spans="2:8" ht="14.25" customHeight="1">
      <c r="B24" s="233" t="s">
        <v>136</v>
      </c>
      <c r="C24" s="233"/>
      <c r="D24" s="233"/>
      <c r="E24" s="221"/>
      <c r="F24" s="221"/>
    </row>
    <row r="25" spans="2:8" ht="14.25" customHeight="1">
      <c r="B25" s="197" t="s">
        <v>135</v>
      </c>
      <c r="C25" s="197"/>
      <c r="D25" s="197"/>
      <c r="E25" s="196"/>
      <c r="F25" s="196"/>
    </row>
    <row r="26" spans="2:8" ht="14.25" customHeight="1">
      <c r="B26" s="198" t="s">
        <v>120</v>
      </c>
      <c r="C26" s="172"/>
      <c r="D26" s="172"/>
      <c r="E26" s="172"/>
      <c r="F26" s="172"/>
    </row>
    <row r="27" spans="2:8" ht="12.75" customHeight="1">
      <c r="B27" s="88"/>
      <c r="C27" s="88"/>
      <c r="D27" s="88"/>
    </row>
    <row r="28" spans="2:8" ht="12.75" customHeight="1" thickBot="1">
      <c r="B28" s="116"/>
      <c r="H28" s="52"/>
    </row>
    <row r="29" spans="2:8" ht="12.75" customHeight="1">
      <c r="B29" s="224" t="s">
        <v>70</v>
      </c>
      <c r="C29" s="225"/>
      <c r="D29" s="225"/>
      <c r="E29" s="225"/>
      <c r="F29" s="225"/>
      <c r="G29" s="225"/>
      <c r="H29" s="226"/>
    </row>
    <row r="30" spans="2:8" ht="27" customHeight="1" thickBot="1">
      <c r="B30" s="227"/>
      <c r="C30" s="228"/>
      <c r="D30" s="228"/>
      <c r="E30" s="228"/>
      <c r="F30" s="228"/>
      <c r="G30" s="228"/>
      <c r="H30" s="229"/>
    </row>
    <row r="31" spans="2:8" ht="13.5" thickBot="1">
      <c r="B31" s="76"/>
      <c r="C31" s="76"/>
      <c r="D31" s="76"/>
      <c r="E31" s="76"/>
      <c r="F31" s="76"/>
      <c r="G31" s="76"/>
    </row>
    <row r="32" spans="2:8" ht="12.75" customHeight="1" thickBot="1">
      <c r="B32" s="90" t="s">
        <v>71</v>
      </c>
      <c r="C32" s="78"/>
      <c r="D32" s="78"/>
      <c r="E32" s="78"/>
      <c r="F32" s="78"/>
      <c r="G32" s="78"/>
    </row>
    <row r="33" spans="2:8" ht="63.75" customHeight="1">
      <c r="B33" s="206" t="s">
        <v>121</v>
      </c>
      <c r="C33" s="207"/>
      <c r="D33" s="207"/>
      <c r="E33" s="207"/>
      <c r="F33" s="207"/>
      <c r="G33" s="207"/>
      <c r="H33" s="208"/>
    </row>
    <row r="34" spans="2:8" ht="1.9" customHeight="1" thickBot="1">
      <c r="B34" s="212"/>
      <c r="C34" s="213"/>
      <c r="D34" s="213"/>
      <c r="E34" s="213"/>
      <c r="F34" s="213"/>
      <c r="G34" s="213"/>
      <c r="H34" s="214"/>
    </row>
    <row r="35" spans="2:8">
      <c r="B35" s="79"/>
      <c r="C35" s="79"/>
      <c r="D35" s="79"/>
      <c r="E35" s="79"/>
      <c r="F35" s="79"/>
    </row>
    <row r="36" spans="2:8">
      <c r="F36" s="53" t="s">
        <v>98</v>
      </c>
    </row>
    <row r="40" spans="2:8">
      <c r="F40" s="81"/>
    </row>
  </sheetData>
  <mergeCells count="6">
    <mergeCell ref="B33:H34"/>
    <mergeCell ref="B17:B18"/>
    <mergeCell ref="B29:H30"/>
    <mergeCell ref="F17:H17"/>
    <mergeCell ref="B24:D24"/>
    <mergeCell ref="E24:F24"/>
  </mergeCells>
  <pageMargins left="0.75" right="0.75" top="1" bottom="1" header="0" footer="0"/>
  <pageSetup paperSize="9" scale="71" orientation="landscape" r:id="rId1"/>
  <headerFooter alignWithMargins="0">
    <oddHeader>&amp;CVALORACION ECONOMICA DEL CONCIERTO DE 8 PLAZAS RESIDENCIALES EN PISOS DE APOYO A LA REINSERCION Y 4 PLAZAS DE AUTOGESTION</oddHeader>
  </headerFooter>
</worksheet>
</file>

<file path=xl/worksheets/sheet4.xml><?xml version="1.0" encoding="utf-8"?>
<worksheet xmlns="http://schemas.openxmlformats.org/spreadsheetml/2006/main" xmlns:r="http://schemas.openxmlformats.org/officeDocument/2006/relationships">
  <dimension ref="B4:J28"/>
  <sheetViews>
    <sheetView topLeftCell="A2" zoomScale="89" zoomScaleNormal="89" workbookViewId="0">
      <selection activeCell="B18" sqref="B18:I18"/>
    </sheetView>
  </sheetViews>
  <sheetFormatPr baseColWidth="10" defaultRowHeight="12.75"/>
  <cols>
    <col min="1" max="1" width="5" customWidth="1"/>
    <col min="2" max="2" width="15.85546875" customWidth="1"/>
    <col min="3" max="3" width="20.5703125" customWidth="1"/>
    <col min="4" max="4" width="14.28515625" customWidth="1"/>
    <col min="5" max="5" width="15.28515625" customWidth="1"/>
    <col min="6" max="6" width="17" customWidth="1"/>
    <col min="7" max="7" width="15.85546875" customWidth="1"/>
    <col min="8" max="8" width="13" customWidth="1"/>
    <col min="9" max="9" width="16.42578125" customWidth="1"/>
    <col min="10" max="10" width="19.140625" customWidth="1"/>
  </cols>
  <sheetData>
    <row r="4" spans="2:7" ht="13.5" thickBot="1"/>
    <row r="5" spans="2:7">
      <c r="B5" s="253" t="s">
        <v>89</v>
      </c>
      <c r="C5" s="254"/>
      <c r="D5" s="254"/>
      <c r="E5" s="255"/>
    </row>
    <row r="6" spans="2:7" ht="13.5" thickBot="1">
      <c r="B6" s="256"/>
      <c r="C6" s="257"/>
      <c r="D6" s="107" t="s">
        <v>21</v>
      </c>
      <c r="E6" s="108" t="s">
        <v>20</v>
      </c>
    </row>
    <row r="7" spans="2:7">
      <c r="B7" s="249" t="s">
        <v>33</v>
      </c>
      <c r="C7" s="109" t="s">
        <v>31</v>
      </c>
      <c r="D7" s="166">
        <f>'20 plazas asistencia'!C25</f>
        <v>79.005899999999997</v>
      </c>
      <c r="E7" s="167">
        <f>'20 plazas asistencia'!C24</f>
        <v>86.906499999999994</v>
      </c>
    </row>
    <row r="8" spans="2:7" ht="13.5" thickBot="1">
      <c r="B8" s="250"/>
      <c r="C8" s="14" t="s">
        <v>32</v>
      </c>
      <c r="D8" s="41">
        <f>'20 plazas asistencia'!C32</f>
        <v>1731809.3299999998</v>
      </c>
      <c r="E8" s="91">
        <f>'20 plazas asistencia'!D32</f>
        <v>1904990.27</v>
      </c>
    </row>
    <row r="9" spans="2:7">
      <c r="B9" s="251" t="s">
        <v>39</v>
      </c>
      <c r="C9" s="13" t="s">
        <v>31</v>
      </c>
      <c r="D9" s="168">
        <f>'10 plazas NIVEL I'!C27</f>
        <v>82.270899999999997</v>
      </c>
      <c r="E9" s="169">
        <f>'10 plazas NIVEL I'!D27</f>
        <v>90.498000000000005</v>
      </c>
    </row>
    <row r="10" spans="2:7" ht="13.5" thickBot="1">
      <c r="B10" s="252"/>
      <c r="C10" s="14" t="s">
        <v>32</v>
      </c>
      <c r="D10" s="41">
        <f>'10 plazas NIVEL I'!C31</f>
        <v>901689.07</v>
      </c>
      <c r="E10" s="91">
        <f>'10 plazas NIVEL I'!D31</f>
        <v>991857.98</v>
      </c>
    </row>
    <row r="11" spans="2:7">
      <c r="B11" s="249" t="s">
        <v>40</v>
      </c>
      <c r="C11" s="109" t="s">
        <v>31</v>
      </c>
      <c r="D11" s="166">
        <f>'4 plazas NIVEL II'!C18</f>
        <v>37.369300000000003</v>
      </c>
      <c r="E11" s="167">
        <f>'4 plazas NIVEL II'!D18</f>
        <v>41.106299999999997</v>
      </c>
      <c r="G11" s="101"/>
    </row>
    <row r="12" spans="2:7" ht="13.5" thickBot="1">
      <c r="B12" s="252"/>
      <c r="C12" s="14" t="s">
        <v>32</v>
      </c>
      <c r="D12" s="41">
        <f>'4 plazas NIVEL II'!C23</f>
        <v>163827.02000000002</v>
      </c>
      <c r="E12" s="91">
        <f>'4 plazas NIVEL II'!D23</f>
        <v>180209.72999999998</v>
      </c>
      <c r="G12" s="101"/>
    </row>
    <row r="13" spans="2:7" ht="13.5" thickBot="1">
      <c r="B13" s="33" t="s">
        <v>34</v>
      </c>
      <c r="C13" s="42"/>
      <c r="D13" s="110">
        <f>SUM(D8,D10,D12)</f>
        <v>2797325.42</v>
      </c>
      <c r="E13" s="111">
        <f>SUM(E8,E10,E12)</f>
        <v>3077057.98</v>
      </c>
    </row>
    <row r="17" spans="2:10" ht="13.5" thickBot="1"/>
    <row r="18" spans="2:10" ht="13.5" thickBot="1">
      <c r="B18" s="238" t="s">
        <v>28</v>
      </c>
      <c r="C18" s="239"/>
      <c r="D18" s="239"/>
      <c r="E18" s="239"/>
      <c r="F18" s="239"/>
      <c r="G18" s="239"/>
      <c r="H18" s="239"/>
      <c r="I18" s="240"/>
    </row>
    <row r="19" spans="2:10" ht="37.5" customHeight="1">
      <c r="B19" s="241" t="s">
        <v>35</v>
      </c>
      <c r="C19" s="242"/>
      <c r="D19" s="236" t="s">
        <v>41</v>
      </c>
      <c r="E19" s="245" t="s">
        <v>55</v>
      </c>
      <c r="F19" s="245" t="s">
        <v>56</v>
      </c>
      <c r="G19" s="98" t="s">
        <v>87</v>
      </c>
      <c r="H19" s="98" t="s">
        <v>88</v>
      </c>
      <c r="I19" s="245" t="s">
        <v>9</v>
      </c>
    </row>
    <row r="20" spans="2:10" ht="0.75" customHeight="1" thickBot="1">
      <c r="B20" s="243"/>
      <c r="C20" s="244"/>
      <c r="D20" s="237"/>
      <c r="E20" s="246"/>
      <c r="F20" s="246"/>
      <c r="G20" s="99"/>
      <c r="H20" s="99"/>
      <c r="I20" s="246"/>
    </row>
    <row r="21" spans="2:10" ht="16.5" thickBot="1">
      <c r="B21" s="247" t="s">
        <v>84</v>
      </c>
      <c r="C21" s="248"/>
      <c r="D21" s="170">
        <f>E7</f>
        <v>86.906499999999994</v>
      </c>
      <c r="E21" s="11">
        <f>'20 plazas asistencia'!H28</f>
        <v>580535.35</v>
      </c>
      <c r="F21" s="11">
        <f>'20 plazas asistencia'!H29</f>
        <v>634417.38</v>
      </c>
      <c r="G21" s="11">
        <f>'20 plazas asistencia'!H30</f>
        <v>636155.51</v>
      </c>
      <c r="H21" s="11">
        <f>'20 plazas asistencia'!H31</f>
        <v>53882.03</v>
      </c>
      <c r="I21" s="11">
        <f>SUM(E21:H21)</f>
        <v>1904990.27</v>
      </c>
      <c r="J21" s="4"/>
    </row>
    <row r="22" spans="2:10" ht="16.5" thickBot="1">
      <c r="B22" s="12" t="s">
        <v>36</v>
      </c>
      <c r="C22" s="100" t="s">
        <v>82</v>
      </c>
      <c r="D22" s="170">
        <f>'10 plazas NIVEL I'!D27</f>
        <v>90.498000000000005</v>
      </c>
      <c r="E22" s="11">
        <f>'10 plazas NIVEL I'!H27</f>
        <v>302263.28999999998</v>
      </c>
      <c r="F22" s="11">
        <f>'10 plazas NIVEL I'!H28</f>
        <v>330317.67</v>
      </c>
      <c r="G22" s="11">
        <f>'10 plazas NIVEL I'!H29</f>
        <v>331222.64</v>
      </c>
      <c r="H22" s="11">
        <f>'10 plazas NIVEL I'!H30</f>
        <v>28054.38</v>
      </c>
      <c r="I22" s="11">
        <f>SUM(E22:H22)</f>
        <v>991857.98</v>
      </c>
      <c r="J22" s="4"/>
    </row>
    <row r="23" spans="2:10" ht="16.5" thickBot="1">
      <c r="B23" s="106" t="s">
        <v>83</v>
      </c>
      <c r="C23" s="100" t="s">
        <v>37</v>
      </c>
      <c r="D23" s="170">
        <f>'4 plazas NIVEL II'!D18</f>
        <v>41.106299999999997</v>
      </c>
      <c r="E23" s="11">
        <f>'4 plazas NIVEL II'!H19</f>
        <v>54917.919999999998</v>
      </c>
      <c r="F23" s="11">
        <f>'4 plazas NIVEL II'!H20</f>
        <v>60015.1</v>
      </c>
      <c r="G23" s="11">
        <f>'4 plazas NIVEL II'!H21</f>
        <v>60179.53</v>
      </c>
      <c r="H23" s="11">
        <f>'4 plazas NIVEL II'!H22</f>
        <v>5097.18</v>
      </c>
      <c r="I23" s="11">
        <f>SUM(E23:H23)</f>
        <v>180209.72999999998</v>
      </c>
      <c r="J23" s="4"/>
    </row>
    <row r="24" spans="2:10" ht="16.5" thickBot="1">
      <c r="B24" s="234" t="s">
        <v>38</v>
      </c>
      <c r="C24" s="235"/>
      <c r="D24" s="171">
        <f>SUM(D21:D23)</f>
        <v>218.51079999999999</v>
      </c>
      <c r="E24" s="43">
        <f>SUM(E21:E23)</f>
        <v>937716.55999999994</v>
      </c>
      <c r="F24" s="43">
        <f>SUM(F21:F23)</f>
        <v>1024750.15</v>
      </c>
      <c r="G24" s="43">
        <f t="shared" ref="G24:I24" si="0">SUM(G21:G23)</f>
        <v>1027557.68</v>
      </c>
      <c r="H24" s="43">
        <f t="shared" si="0"/>
        <v>87033.59</v>
      </c>
      <c r="I24" s="43">
        <f t="shared" si="0"/>
        <v>3077057.98</v>
      </c>
    </row>
    <row r="27" spans="2:10">
      <c r="C27" s="199" t="s">
        <v>139</v>
      </c>
      <c r="D27" s="199"/>
      <c r="E27" s="199"/>
    </row>
    <row r="28" spans="2:10">
      <c r="C28" s="199" t="s">
        <v>138</v>
      </c>
      <c r="D28" s="199"/>
      <c r="E28" s="199"/>
    </row>
  </sheetData>
  <mergeCells count="13">
    <mergeCell ref="B7:B8"/>
    <mergeCell ref="B9:B10"/>
    <mergeCell ref="B11:B12"/>
    <mergeCell ref="B5:E5"/>
    <mergeCell ref="B6:C6"/>
    <mergeCell ref="B24:C24"/>
    <mergeCell ref="D19:D20"/>
    <mergeCell ref="B18:I18"/>
    <mergeCell ref="B19:C20"/>
    <mergeCell ref="E19:E20"/>
    <mergeCell ref="F19:F20"/>
    <mergeCell ref="I19:I20"/>
    <mergeCell ref="B21:C21"/>
  </mergeCells>
  <phoneticPr fontId="6" type="noConversion"/>
  <pageMargins left="0.75" right="0.75" top="0.33" bottom="1" header="0" footer="0"/>
  <pageSetup paperSize="9"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dimension ref="A1:J23"/>
  <sheetViews>
    <sheetView tabSelected="1" workbookViewId="0">
      <selection activeCell="C23" sqref="C23"/>
    </sheetView>
  </sheetViews>
  <sheetFormatPr baseColWidth="10" defaultRowHeight="12.75"/>
  <cols>
    <col min="1" max="1" width="30.5703125" customWidth="1"/>
    <col min="2" max="3" width="21.42578125" customWidth="1"/>
    <col min="4" max="4" width="21.5703125" customWidth="1"/>
    <col min="5" max="5" width="12.140625" customWidth="1"/>
    <col min="6" max="6" width="10.28515625" customWidth="1"/>
    <col min="8" max="8" width="13.140625" customWidth="1"/>
    <col min="10" max="10" width="20.140625" customWidth="1"/>
  </cols>
  <sheetData>
    <row r="1" spans="1:10" ht="49.5" customHeight="1">
      <c r="A1" s="176" t="s">
        <v>43</v>
      </c>
      <c r="B1" s="176" t="s">
        <v>107</v>
      </c>
      <c r="C1" s="177" t="s">
        <v>108</v>
      </c>
      <c r="D1" s="177" t="s">
        <v>109</v>
      </c>
      <c r="E1" s="176" t="s">
        <v>110</v>
      </c>
      <c r="F1" s="176" t="s">
        <v>44</v>
      </c>
      <c r="G1" s="176" t="s">
        <v>64</v>
      </c>
      <c r="H1" s="176" t="s">
        <v>111</v>
      </c>
      <c r="I1" s="176" t="s">
        <v>45</v>
      </c>
      <c r="J1" s="176" t="s">
        <v>106</v>
      </c>
    </row>
    <row r="2" spans="1:10">
      <c r="A2" s="153" t="s">
        <v>46</v>
      </c>
      <c r="B2" s="178">
        <v>3535</v>
      </c>
      <c r="C2" s="179">
        <f>ROUND(B2+(B2*1%),2)</f>
        <v>3570.35</v>
      </c>
      <c r="D2" s="180">
        <f>ROUND(C2+(C2*1%),2)</f>
        <v>3606.05</v>
      </c>
      <c r="E2" s="154"/>
      <c r="F2" s="154"/>
      <c r="G2" s="154"/>
      <c r="H2" s="152">
        <f>ROUND(SUM(D2:G2),2)</f>
        <v>3606.05</v>
      </c>
      <c r="I2" s="152">
        <f>ROUND(H2*32%,2)</f>
        <v>1153.94</v>
      </c>
      <c r="J2" s="152">
        <f>ROUND(H2+I2,2)</f>
        <v>4759.99</v>
      </c>
    </row>
    <row r="3" spans="1:10">
      <c r="A3" s="153" t="s">
        <v>52</v>
      </c>
      <c r="B3" s="178">
        <v>24560.76</v>
      </c>
      <c r="C3" s="179">
        <f>ROUND(B3+(B3*1%),2)</f>
        <v>24806.37</v>
      </c>
      <c r="D3" s="180">
        <f>ROUND(C3+(C3*1%),2)</f>
        <v>25054.43</v>
      </c>
      <c r="E3" s="152">
        <f>D2</f>
        <v>3606.05</v>
      </c>
      <c r="F3" s="154"/>
      <c r="G3" s="154"/>
      <c r="H3" s="152">
        <f t="shared" ref="H3:H17" si="0">ROUND(SUM(D3:G3),2)</f>
        <v>28660.48</v>
      </c>
      <c r="I3" s="152">
        <f t="shared" ref="I3:I17" si="1">ROUND(H3*32%,2)</f>
        <v>9171.35</v>
      </c>
      <c r="J3" s="152">
        <f t="shared" ref="J3:J16" si="2">ROUND(H3+I3,2)</f>
        <v>37831.83</v>
      </c>
    </row>
    <row r="4" spans="1:10">
      <c r="A4" s="153" t="s">
        <v>54</v>
      </c>
      <c r="B4" s="178">
        <v>24560.76</v>
      </c>
      <c r="C4" s="179">
        <f t="shared" ref="C4:C17" si="3">ROUND(B4+(B4*1%),2)</f>
        <v>24806.37</v>
      </c>
      <c r="D4" s="180">
        <f t="shared" ref="D4:D17" si="4">ROUND(C4+(C4*1%),2)</f>
        <v>25054.43</v>
      </c>
      <c r="E4" s="154"/>
      <c r="F4" s="154"/>
      <c r="G4" s="154"/>
      <c r="H4" s="152">
        <f t="shared" si="0"/>
        <v>25054.43</v>
      </c>
      <c r="I4" s="152">
        <f t="shared" si="1"/>
        <v>8017.42</v>
      </c>
      <c r="J4" s="152">
        <f t="shared" si="2"/>
        <v>33071.85</v>
      </c>
    </row>
    <row r="5" spans="1:10">
      <c r="A5" s="153" t="s">
        <v>53</v>
      </c>
      <c r="B5" s="178">
        <v>24560.76</v>
      </c>
      <c r="C5" s="179">
        <f t="shared" si="3"/>
        <v>24806.37</v>
      </c>
      <c r="D5" s="180">
        <f t="shared" si="4"/>
        <v>25054.43</v>
      </c>
      <c r="E5" s="154"/>
      <c r="F5" s="152">
        <f>ROUND(D5*0.15,2)</f>
        <v>3758.16</v>
      </c>
      <c r="G5" s="154"/>
      <c r="H5" s="152">
        <f t="shared" si="0"/>
        <v>28812.59</v>
      </c>
      <c r="I5" s="152">
        <f t="shared" si="1"/>
        <v>9220.0300000000007</v>
      </c>
      <c r="J5" s="152">
        <f t="shared" si="2"/>
        <v>38032.620000000003</v>
      </c>
    </row>
    <row r="6" spans="1:10">
      <c r="A6" s="153" t="s">
        <v>51</v>
      </c>
      <c r="B6" s="178">
        <v>22387.3</v>
      </c>
      <c r="C6" s="179">
        <f t="shared" si="3"/>
        <v>22611.17</v>
      </c>
      <c r="D6" s="180">
        <f t="shared" si="4"/>
        <v>22837.279999999999</v>
      </c>
      <c r="E6" s="154"/>
      <c r="F6" s="154"/>
      <c r="G6" s="154"/>
      <c r="H6" s="152">
        <f t="shared" si="0"/>
        <v>22837.279999999999</v>
      </c>
      <c r="I6" s="152">
        <f t="shared" si="1"/>
        <v>7307.93</v>
      </c>
      <c r="J6" s="152">
        <f t="shared" si="2"/>
        <v>30145.21</v>
      </c>
    </row>
    <row r="7" spans="1:10">
      <c r="A7" s="153" t="s">
        <v>50</v>
      </c>
      <c r="B7" s="178">
        <v>22387.3</v>
      </c>
      <c r="C7" s="179">
        <f t="shared" si="3"/>
        <v>22611.17</v>
      </c>
      <c r="D7" s="180">
        <f t="shared" si="4"/>
        <v>22837.279999999999</v>
      </c>
      <c r="E7" s="154"/>
      <c r="F7" s="154"/>
      <c r="G7" s="154"/>
      <c r="H7" s="152">
        <f t="shared" si="0"/>
        <v>22837.279999999999</v>
      </c>
      <c r="I7" s="152">
        <f t="shared" si="1"/>
        <v>7307.93</v>
      </c>
      <c r="J7" s="152">
        <f t="shared" si="2"/>
        <v>30145.21</v>
      </c>
    </row>
    <row r="8" spans="1:10">
      <c r="A8" s="153" t="s">
        <v>49</v>
      </c>
      <c r="B8" s="178">
        <v>22387.3</v>
      </c>
      <c r="C8" s="179">
        <f t="shared" si="3"/>
        <v>22611.17</v>
      </c>
      <c r="D8" s="180">
        <f t="shared" si="4"/>
        <v>22837.279999999999</v>
      </c>
      <c r="E8" s="154"/>
      <c r="F8" s="152">
        <f>ROUND(D8*0.15,2)</f>
        <v>3425.59</v>
      </c>
      <c r="G8" s="154"/>
      <c r="H8" s="152">
        <f t="shared" si="0"/>
        <v>26262.87</v>
      </c>
      <c r="I8" s="152">
        <f t="shared" si="1"/>
        <v>8404.1200000000008</v>
      </c>
      <c r="J8" s="152">
        <f t="shared" si="2"/>
        <v>34666.99</v>
      </c>
    </row>
    <row r="9" spans="1:10">
      <c r="A9" s="153" t="s">
        <v>47</v>
      </c>
      <c r="B9" s="178">
        <v>22387.3</v>
      </c>
      <c r="C9" s="179">
        <f t="shared" si="3"/>
        <v>22611.17</v>
      </c>
      <c r="D9" s="180">
        <f t="shared" si="4"/>
        <v>22837.279999999999</v>
      </c>
      <c r="E9" s="154"/>
      <c r="F9" s="154"/>
      <c r="G9" s="154"/>
      <c r="H9" s="152">
        <f t="shared" si="0"/>
        <v>22837.279999999999</v>
      </c>
      <c r="I9" s="152">
        <f t="shared" si="1"/>
        <v>7307.93</v>
      </c>
      <c r="J9" s="152">
        <f t="shared" si="2"/>
        <v>30145.21</v>
      </c>
    </row>
    <row r="10" spans="1:10">
      <c r="A10" s="153" t="s">
        <v>48</v>
      </c>
      <c r="B10" s="178">
        <v>22387.3</v>
      </c>
      <c r="C10" s="179">
        <f t="shared" si="3"/>
        <v>22611.17</v>
      </c>
      <c r="D10" s="180">
        <f t="shared" si="4"/>
        <v>22837.279999999999</v>
      </c>
      <c r="E10" s="154"/>
      <c r="F10" s="152">
        <f>ROUND(D10*0.15,2)</f>
        <v>3425.59</v>
      </c>
      <c r="G10" s="154"/>
      <c r="H10" s="152">
        <f t="shared" si="0"/>
        <v>26262.87</v>
      </c>
      <c r="I10" s="152">
        <f t="shared" si="1"/>
        <v>8404.1200000000008</v>
      </c>
      <c r="J10" s="152">
        <f t="shared" si="2"/>
        <v>34666.99</v>
      </c>
    </row>
    <row r="11" spans="1:10">
      <c r="A11" s="153" t="s">
        <v>65</v>
      </c>
      <c r="B11" s="178">
        <v>16220.6</v>
      </c>
      <c r="C11" s="179">
        <f t="shared" si="3"/>
        <v>16382.81</v>
      </c>
      <c r="D11" s="180">
        <f t="shared" si="4"/>
        <v>16546.64</v>
      </c>
      <c r="E11" s="154"/>
      <c r="F11" s="154"/>
      <c r="G11" s="154"/>
      <c r="H11" s="152">
        <f t="shared" si="0"/>
        <v>16546.64</v>
      </c>
      <c r="I11" s="152">
        <f t="shared" si="1"/>
        <v>5294.92</v>
      </c>
      <c r="J11" s="152">
        <f t="shared" si="2"/>
        <v>21841.56</v>
      </c>
    </row>
    <row r="12" spans="1:10">
      <c r="A12" s="153" t="s">
        <v>66</v>
      </c>
      <c r="B12" s="178">
        <v>16220.6</v>
      </c>
      <c r="C12" s="179">
        <f t="shared" si="3"/>
        <v>16382.81</v>
      </c>
      <c r="D12" s="180">
        <f t="shared" si="4"/>
        <v>16546.64</v>
      </c>
      <c r="E12" s="154"/>
      <c r="F12" s="152">
        <f>ROUND(D12*0.15,2)</f>
        <v>2482</v>
      </c>
      <c r="G12" s="154"/>
      <c r="H12" s="152">
        <f t="shared" si="0"/>
        <v>19028.64</v>
      </c>
      <c r="I12" s="152">
        <f t="shared" si="1"/>
        <v>6089.16</v>
      </c>
      <c r="J12" s="152">
        <f t="shared" si="2"/>
        <v>25117.8</v>
      </c>
    </row>
    <row r="13" spans="1:10">
      <c r="A13" s="153" t="s">
        <v>67</v>
      </c>
      <c r="B13" s="178">
        <v>16220.6</v>
      </c>
      <c r="C13" s="179">
        <f t="shared" si="3"/>
        <v>16382.81</v>
      </c>
      <c r="D13" s="180">
        <f t="shared" si="4"/>
        <v>16546.64</v>
      </c>
      <c r="E13" s="154"/>
      <c r="F13" s="154"/>
      <c r="G13" s="152">
        <f>ROUND(D13*0.25,2)</f>
        <v>4136.66</v>
      </c>
      <c r="H13" s="152">
        <f t="shared" si="0"/>
        <v>20683.3</v>
      </c>
      <c r="I13" s="152">
        <f t="shared" si="1"/>
        <v>6618.66</v>
      </c>
      <c r="J13" s="152">
        <f t="shared" si="2"/>
        <v>27301.96</v>
      </c>
    </row>
    <row r="14" spans="1:10">
      <c r="A14" s="153" t="s">
        <v>102</v>
      </c>
      <c r="B14" s="178">
        <v>16220.6</v>
      </c>
      <c r="C14" s="179">
        <f t="shared" si="3"/>
        <v>16382.81</v>
      </c>
      <c r="D14" s="180">
        <f t="shared" si="4"/>
        <v>16546.64</v>
      </c>
      <c r="E14" s="154"/>
      <c r="F14" s="152">
        <f>ROUND(D14*15%,2)</f>
        <v>2482</v>
      </c>
      <c r="G14" s="152">
        <f>ROUND(D14*25%,2)</f>
        <v>4136.66</v>
      </c>
      <c r="H14" s="152">
        <f t="shared" si="0"/>
        <v>23165.3</v>
      </c>
      <c r="I14" s="152">
        <f t="shared" si="1"/>
        <v>7412.9</v>
      </c>
      <c r="J14" s="152">
        <f t="shared" si="2"/>
        <v>30578.2</v>
      </c>
    </row>
    <row r="15" spans="1:10">
      <c r="A15" s="153" t="s">
        <v>57</v>
      </c>
      <c r="B15" s="178">
        <v>16220.6</v>
      </c>
      <c r="C15" s="179">
        <f t="shared" si="3"/>
        <v>16382.81</v>
      </c>
      <c r="D15" s="180">
        <f t="shared" si="4"/>
        <v>16546.64</v>
      </c>
      <c r="E15" s="154"/>
      <c r="F15" s="154"/>
      <c r="G15" s="154"/>
      <c r="H15" s="152">
        <f t="shared" si="0"/>
        <v>16546.64</v>
      </c>
      <c r="I15" s="152">
        <f t="shared" si="1"/>
        <v>5294.92</v>
      </c>
      <c r="J15" s="152">
        <f t="shared" si="2"/>
        <v>21841.56</v>
      </c>
    </row>
    <row r="16" spans="1:10">
      <c r="A16" s="155" t="s">
        <v>99</v>
      </c>
      <c r="B16" s="178">
        <v>18503.2</v>
      </c>
      <c r="C16" s="179">
        <f t="shared" si="3"/>
        <v>18688.23</v>
      </c>
      <c r="D16" s="180">
        <f t="shared" si="4"/>
        <v>18875.11</v>
      </c>
      <c r="E16" s="154"/>
      <c r="F16" s="152">
        <f>ROUND(D16*0.15,2)</f>
        <v>2831.27</v>
      </c>
      <c r="G16" s="154"/>
      <c r="H16" s="152">
        <f t="shared" si="0"/>
        <v>21706.38</v>
      </c>
      <c r="I16" s="152">
        <f t="shared" si="1"/>
        <v>6946.04</v>
      </c>
      <c r="J16" s="152">
        <f t="shared" si="2"/>
        <v>28652.42</v>
      </c>
    </row>
    <row r="17" spans="1:10">
      <c r="A17" s="155" t="s">
        <v>81</v>
      </c>
      <c r="B17" s="178">
        <v>18503.2</v>
      </c>
      <c r="C17" s="179">
        <f t="shared" si="3"/>
        <v>18688.23</v>
      </c>
      <c r="D17" s="180">
        <f t="shared" si="4"/>
        <v>18875.11</v>
      </c>
      <c r="E17" s="154"/>
      <c r="F17" s="154"/>
      <c r="G17" s="154"/>
      <c r="H17" s="152">
        <f t="shared" si="0"/>
        <v>18875.11</v>
      </c>
      <c r="I17" s="152">
        <f t="shared" si="1"/>
        <v>6040.04</v>
      </c>
      <c r="J17" s="152">
        <f t="shared" ref="J17" si="5">H17+I17</f>
        <v>24915.15</v>
      </c>
    </row>
    <row r="20" spans="1:10">
      <c r="A20" s="187" t="s">
        <v>114</v>
      </c>
      <c r="B20" s="186">
        <f>ROUND(D15/1750,2)</f>
        <v>9.4600000000000009</v>
      </c>
    </row>
    <row r="21" spans="1:10">
      <c r="A21" s="185" t="s">
        <v>115</v>
      </c>
      <c r="B21" s="186">
        <f>ROUND(B20+(B20*32%),2)</f>
        <v>12.49</v>
      </c>
    </row>
    <row r="22" spans="1:10">
      <c r="A22" s="185" t="s">
        <v>116</v>
      </c>
      <c r="B22" s="186">
        <f>ROUND(B21*7,2)</f>
        <v>87.43</v>
      </c>
      <c r="D22" s="101"/>
    </row>
    <row r="23" spans="1:10">
      <c r="A23" s="187" t="s">
        <v>117</v>
      </c>
      <c r="B23" s="188">
        <f>ROUND(B22*52,2)</f>
        <v>4546.3599999999997</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20 plazas asistencia</vt:lpstr>
      <vt:lpstr>10 plazas NIVEL I</vt:lpstr>
      <vt:lpstr>4 plazas NIVEL II</vt:lpstr>
      <vt:lpstr>Resumen Global</vt:lpstr>
      <vt:lpstr>DESGLOSE SALARIOS</vt:lpstr>
      <vt:lpstr>'4 plazas NIVEL II'!con</vt:lpstr>
      <vt:lpstr>'4 plazas NIVEL II'!sin</vt:lpstr>
    </vt:vector>
  </TitlesOfParts>
  <Company>Comunidad de Madrid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CAP831</dc:creator>
  <cp:lastModifiedBy>PILAR</cp:lastModifiedBy>
  <cp:lastPrinted>2017-04-10T12:42:06Z</cp:lastPrinted>
  <dcterms:created xsi:type="dcterms:W3CDTF">2003-09-18T15:53:01Z</dcterms:created>
  <dcterms:modified xsi:type="dcterms:W3CDTF">2017-08-10T15:39:13Z</dcterms:modified>
</cp:coreProperties>
</file>